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56" yWindow="2850" windowWidth="15480" windowHeight="5640" activeTab="0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4.5-26.5 GHz B" sheetId="16" r:id="rId12"/>
    <sheet name="22-23.6 GHz A" sheetId="15" r:id="rId13"/>
    <sheet name="27.5-29.5 GHz C" sheetId="17" r:id="rId14"/>
    <sheet name="31.8-33.4 GHz" sheetId="21" r:id="rId15"/>
    <sheet name="37-39.5 GHz" sheetId="18" r:id="rId16"/>
    <sheet name="57-59 GHz" sheetId="19" r:id="rId17"/>
  </sheets>
  <definedNames/>
  <calcPr calcId="162913"/>
</workbook>
</file>

<file path=xl/sharedStrings.xml><?xml version="1.0" encoding="utf-8"?>
<sst xmlns="http://schemas.openxmlformats.org/spreadsheetml/2006/main" count="3214" uniqueCount="965">
  <si>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</si>
  <si>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</si>
  <si>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</si>
  <si>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</si>
  <si>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</si>
  <si>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</si>
  <si>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</si>
  <si>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</si>
  <si>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</si>
  <si>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</si>
  <si>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</si>
  <si>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  <family val="2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</si>
  <si>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</si>
  <si>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</si>
  <si>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</si>
  <si>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</si>
  <si>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</si>
  <si>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</si>
  <si>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</si>
  <si>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</si>
  <si>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</si>
  <si>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</si>
  <si>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</si>
  <si>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</si>
  <si>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</si>
  <si>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</si>
  <si>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</si>
  <si>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</si>
  <si>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</si>
  <si>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</si>
  <si>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</si>
  <si>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</si>
  <si>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</si>
  <si>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</si>
  <si>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</si>
  <si>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</si>
  <si>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</si>
  <si>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</si>
  <si>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</si>
  <si>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</si>
  <si>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</si>
  <si>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</si>
  <si>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</si>
  <si>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</si>
  <si>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</si>
  <si>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</si>
  <si>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</si>
  <si>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</si>
  <si>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  <family val="2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</si>
  <si>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</si>
  <si>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</si>
  <si>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</si>
  <si>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</si>
  <si>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</si>
  <si>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</si>
  <si>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</si>
  <si>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</si>
  <si>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</si>
  <si>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</si>
  <si>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</si>
  <si>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</si>
  <si>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</si>
  <si>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</si>
  <si>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</si>
  <si>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</si>
  <si>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</si>
  <si>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</si>
  <si>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</si>
  <si>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</si>
  <si>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</si>
  <si>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</si>
  <si>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</si>
  <si>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</si>
  <si>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</si>
  <si>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</si>
  <si>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</si>
  <si>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</si>
  <si>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</si>
  <si>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</si>
  <si>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</si>
  <si>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</si>
  <si>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</si>
  <si>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</si>
  <si>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</si>
  <si>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</si>
  <si>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</si>
  <si>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</si>
  <si>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</si>
  <si>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</si>
  <si>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</si>
  <si>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</si>
  <si>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</si>
  <si>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</si>
  <si>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</si>
  <si>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  <family val="2"/>
      </rPr>
      <t xml:space="preserve"> Zogu i Zi- Kodra e Kuqe   </t>
    </r>
  </si>
  <si>
    <r>
      <t xml:space="preserve">Lidhje fikse </t>
    </r>
    <r>
      <rPr>
        <sz val="10"/>
        <rFont val="Arial"/>
        <family val="2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</si>
  <si>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</si>
  <si>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</si>
  <si>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</si>
  <si>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</si>
  <si>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</si>
  <si>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</si>
  <si>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</si>
  <si>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</si>
  <si>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</si>
  <si>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</si>
  <si>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</si>
  <si>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</si>
  <si>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</si>
  <si>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</si>
  <si>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</si>
  <si>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</si>
  <si>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</si>
  <si>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</si>
  <si>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</si>
  <si>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</si>
  <si>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</si>
  <si>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</si>
  <si>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</si>
  <si>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</si>
  <si>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</si>
  <si>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</si>
  <si>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</si>
  <si>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</si>
  <si>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</si>
  <si>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</si>
  <si>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</si>
  <si>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</si>
  <si>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</si>
  <si>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</si>
  <si>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</si>
  <si>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</si>
  <si>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</si>
  <si>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</si>
  <si>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</si>
  <si>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</si>
  <si>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</si>
  <si>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</si>
  <si>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</si>
  <si>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</si>
  <si>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</si>
  <si>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</si>
  <si>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</si>
  <si>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</si>
  <si>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</si>
  <si>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</si>
  <si>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</si>
  <si>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</si>
  <si>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</si>
  <si>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</si>
  <si>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</si>
  <si>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</si>
  <si>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</si>
  <si>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</si>
  <si>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</si>
  <si>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</si>
  <si>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</si>
  <si>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</si>
  <si>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</si>
  <si>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</si>
  <si>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</si>
  <si>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</si>
  <si>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</si>
  <si>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</si>
  <si>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</si>
  <si>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</si>
  <si>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</si>
  <si>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</si>
  <si>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</si>
  <si>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</si>
  <si>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</si>
  <si>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</si>
  <si>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</si>
  <si>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</si>
  <si>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</si>
  <si>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</si>
  <si>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</si>
  <si>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</si>
  <si>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</si>
  <si>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</si>
  <si>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</si>
  <si>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</si>
  <si>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</si>
  <si>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</si>
  <si>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</si>
  <si>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</si>
  <si>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</si>
  <si>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</si>
  <si>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</si>
  <si>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</si>
  <si>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</si>
  <si>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</si>
  <si>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</si>
  <si>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</si>
  <si>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</si>
  <si>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</si>
  <si>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</si>
  <si>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</si>
  <si>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</si>
  <si>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</si>
  <si>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</si>
  <si>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</si>
  <si>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</si>
  <si>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</si>
  <si>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</si>
  <si>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</si>
  <si>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</si>
  <si>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</si>
  <si>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</si>
  <si>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</si>
  <si>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</si>
  <si>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</si>
  <si>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</si>
  <si>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</si>
  <si>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</si>
  <si>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</si>
  <si>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</si>
  <si>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</si>
  <si>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</si>
  <si>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</si>
  <si>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</si>
  <si>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</si>
  <si>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</si>
  <si>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</si>
  <si>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</si>
  <si>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</si>
  <si>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</si>
  <si>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</si>
  <si>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</si>
  <si>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</si>
  <si>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</si>
  <si>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</si>
  <si>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</si>
  <si>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</si>
  <si>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</si>
  <si>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</si>
  <si>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</si>
  <si>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</si>
  <si>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</si>
  <si>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</si>
  <si>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</si>
  <si>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</si>
  <si>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</si>
  <si>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</si>
  <si>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</si>
  <si>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</si>
  <si>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</si>
  <si>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</si>
  <si>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</si>
  <si>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</si>
  <si>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</si>
  <si>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</si>
  <si>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</si>
  <si>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</si>
  <si>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</si>
  <si>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</si>
  <si>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</si>
  <si>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</si>
  <si>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</si>
  <si>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</si>
  <si>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</si>
  <si>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</si>
  <si>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</si>
  <si>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</si>
  <si>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</si>
  <si>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  <family val="2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</si>
  <si>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</si>
  <si>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</si>
  <si>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</si>
  <si>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</si>
  <si>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</si>
  <si>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</si>
  <si>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</si>
  <si>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</si>
  <si>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</si>
  <si>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</si>
  <si>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</si>
  <si>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</si>
  <si>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  <family val="2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</si>
  <si>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</si>
  <si>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</si>
  <si>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</si>
  <si>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</si>
  <si>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</si>
  <si>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</si>
  <si>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</si>
  <si>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</si>
  <si>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</si>
  <si>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  <family val="2"/>
      </rPr>
      <t xml:space="preserve">   Vodafone-Misto Mame; Gllave-Kalivac</t>
    </r>
  </si>
  <si>
    <r>
      <t xml:space="preserve"> Lidhje fikse</t>
    </r>
    <r>
      <rPr>
        <sz val="10"/>
        <rFont val="Arial"/>
        <family val="2"/>
      </rPr>
      <t xml:space="preserve">   Tirana MTX -Farka; Gllave-Kalivac</t>
    </r>
  </si>
  <si>
    <r>
      <t>Lidhje fikse</t>
    </r>
    <r>
      <rPr>
        <sz val="10"/>
        <rFont val="Arial"/>
        <family val="2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</si>
  <si>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</si>
  <si>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</si>
  <si>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</si>
  <si>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</si>
  <si>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</si>
  <si>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</si>
  <si>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</si>
  <si>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</si>
  <si>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</si>
  <si>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</si>
  <si>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</si>
  <si>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</si>
  <si>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</si>
  <si>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</si>
  <si>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</si>
  <si>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</si>
  <si>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  <family val="2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</si>
  <si>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</si>
  <si>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</si>
  <si>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</si>
  <si>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</si>
  <si>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</si>
  <si>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</si>
  <si>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</si>
  <si>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</si>
  <si>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</si>
  <si>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</si>
  <si>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</si>
  <si>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</si>
  <si>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</si>
  <si>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</si>
  <si>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</si>
  <si>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</si>
  <si>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</si>
  <si>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</si>
  <si>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</si>
  <si>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</si>
  <si>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</si>
  <si>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</si>
  <si>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</si>
  <si>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</si>
  <si>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</si>
  <si>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</si>
  <si>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  <family val="2"/>
      </rPr>
      <t>Parlamenti-Torre Drini;   Tirana MTX - Casa Italia; Korce- Intesa Korce;</t>
    </r>
  </si>
  <si>
    <r>
      <t xml:space="preserve">Lidhje fikse </t>
    </r>
    <r>
      <rPr>
        <sz val="10"/>
        <rFont val="Arial"/>
        <family val="2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</si>
  <si>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</si>
  <si>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</si>
  <si>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</si>
  <si>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</si>
  <si>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</si>
  <si>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</si>
  <si>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</si>
  <si>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</si>
  <si>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Kryevidh-Arapaj DR; Dajt-Ligovun;</t>
    </r>
  </si>
  <si>
    <r>
      <t xml:space="preserve">Lidhje fikse </t>
    </r>
    <r>
      <rPr>
        <sz val="10"/>
        <rFont val="Arial"/>
        <family val="2"/>
      </rPr>
      <t xml:space="preserve">AT Fier-Qafe Koshovice,  </t>
    </r>
  </si>
  <si>
    <r>
      <t xml:space="preserve">Lidhje fikse </t>
    </r>
    <r>
      <rPr>
        <sz val="10"/>
        <rFont val="Arial"/>
        <family val="2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</si>
  <si>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</si>
  <si>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</si>
  <si>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</si>
  <si>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</si>
  <si>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</si>
  <si>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</si>
  <si>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</si>
  <si>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</si>
  <si>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</si>
  <si>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Ambasada Suedeze-Filologjiku New;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</si>
  <si>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</si>
  <si>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</si>
  <si>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</si>
  <si>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</si>
  <si>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</si>
  <si>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</si>
  <si>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</si>
  <si>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</si>
  <si>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</si>
  <si>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</si>
  <si>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</si>
  <si>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</si>
  <si>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</si>
  <si>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</si>
  <si>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</si>
  <si>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</si>
  <si>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</si>
  <si>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</si>
  <si>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</si>
  <si>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</si>
  <si>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</si>
  <si>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</si>
  <si>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</si>
  <si>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</si>
  <si>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</si>
  <si>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</si>
  <si>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</si>
  <si>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</si>
  <si>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</si>
  <si>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</si>
  <si>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</si>
  <si>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</si>
  <si>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</si>
  <si>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Ministry of Health - Ekonomiku;  </t>
    </r>
  </si>
  <si>
    <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</si>
  <si>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</si>
  <si>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</si>
  <si>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</si>
  <si>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</si>
  <si>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</si>
  <si>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</si>
  <si>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</si>
  <si>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</si>
  <si>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</si>
  <si>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</si>
  <si>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</si>
  <si>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</si>
  <si>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</si>
  <si>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</si>
  <si>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</si>
  <si>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</si>
  <si>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</si>
  <si>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</si>
  <si>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</si>
  <si>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</si>
  <si>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</si>
  <si>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</si>
  <si>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</si>
  <si>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</si>
  <si>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</si>
  <si>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</si>
  <si>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</si>
  <si>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</si>
  <si>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</si>
  <si>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</si>
  <si>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</si>
  <si>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</si>
  <si>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</si>
  <si>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</si>
  <si>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</si>
  <si>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</si>
  <si>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</si>
  <si>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</si>
  <si>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</si>
  <si>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</si>
  <si>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</si>
  <si>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</si>
  <si>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</si>
  <si>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</si>
  <si>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</si>
  <si>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</si>
  <si>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</si>
  <si>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</si>
  <si>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</si>
  <si>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</si>
  <si>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</si>
  <si>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</si>
  <si>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</si>
  <si>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</si>
  <si>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</si>
  <si>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</si>
  <si>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</si>
  <si>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</si>
  <si>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</si>
  <si>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</si>
  <si>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</si>
  <si>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</si>
  <si>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</si>
  <si>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</si>
  <si>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</si>
  <si>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</si>
  <si>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</si>
  <si>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</si>
  <si>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</si>
  <si>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</si>
  <si>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</si>
  <si>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</si>
  <si>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</si>
  <si>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</si>
  <si>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</si>
  <si>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</si>
  <si>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</si>
  <si>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</si>
  <si>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</si>
  <si>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</si>
  <si>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</si>
  <si>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</si>
  <si>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</si>
  <si>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</si>
  <si>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</si>
  <si>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</si>
  <si>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</si>
  <si>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</si>
  <si>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</si>
  <si>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  <family val="2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</si>
  <si>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  <family val="2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</si>
  <si>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</si>
  <si>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</si>
  <si>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</si>
  <si>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</si>
  <si>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</si>
  <si>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</si>
  <si>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</si>
  <si>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</si>
  <si>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</si>
  <si>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; Corovoda-Gllava; </t>
    </r>
  </si>
  <si>
    <r>
      <t>Lidhje fikse</t>
    </r>
    <r>
      <rPr>
        <sz val="10"/>
        <rFont val="Arial"/>
        <family val="2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</si>
  <si>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</si>
  <si>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Sauk-Sauk,   </t>
    </r>
  </si>
  <si>
    <r>
      <t xml:space="preserve">Lidhje fikse </t>
    </r>
    <r>
      <rPr>
        <sz val="10"/>
        <rFont val="Arial"/>
        <family val="2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</si>
  <si>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</si>
  <si>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</si>
  <si>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</si>
  <si>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</si>
  <si>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</si>
  <si>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</si>
  <si>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</si>
  <si>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</si>
  <si>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</si>
  <si>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</si>
  <si>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</si>
  <si>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</si>
  <si>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</si>
  <si>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</si>
  <si>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</si>
  <si>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</si>
  <si>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  <family val="2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</si>
  <si>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</si>
  <si>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</si>
  <si>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</si>
  <si>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</si>
  <si>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</si>
  <si>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</si>
  <si>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</si>
  <si>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</si>
  <si>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</si>
  <si>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</si>
  <si>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</si>
  <si>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</si>
  <si>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</si>
  <si>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</si>
  <si>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</si>
  <si>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</si>
  <si>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</si>
  <si>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</si>
  <si>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</si>
  <si>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</si>
  <si>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</si>
  <si>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</si>
  <si>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</si>
  <si>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</si>
  <si>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</si>
  <si>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</si>
  <si>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</si>
  <si>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</si>
  <si>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</si>
  <si>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  <family val="2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</si>
  <si>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</si>
  <si>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</si>
  <si>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</si>
  <si>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</si>
  <si>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</si>
  <si>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</si>
  <si>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</si>
  <si>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</si>
  <si>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</si>
  <si>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  <family val="2"/>
      </rPr>
      <t xml:space="preserve"> Arkiva - Brraka;</t>
    </r>
  </si>
  <si>
    <r>
      <t>Lidhje fikse</t>
    </r>
    <r>
      <rPr>
        <sz val="10"/>
        <rFont val="Arial"/>
        <family val="2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</si>
  <si>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</si>
  <si>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</si>
  <si>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</si>
  <si>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</si>
  <si>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</si>
  <si>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</si>
  <si>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</si>
  <si>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</si>
  <si>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</si>
  <si>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</si>
  <si>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</si>
  <si>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</si>
  <si>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</si>
  <si>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</si>
  <si>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</si>
  <si>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</si>
  <si>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</si>
  <si>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</si>
  <si>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</si>
  <si>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</si>
  <si>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</si>
  <si>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</si>
  <si>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</si>
  <si>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</si>
  <si>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</si>
  <si>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</si>
  <si>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</si>
  <si>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</si>
  <si>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</si>
  <si>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</si>
  <si>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</si>
  <si>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</si>
  <si>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</si>
  <si>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</si>
  <si>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</si>
  <si>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</si>
  <si>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</si>
  <si>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</si>
  <si>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</si>
  <si>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</si>
  <si>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</si>
  <si>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</si>
  <si>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</si>
  <si>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</si>
  <si>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</si>
  <si>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</si>
  <si>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</si>
  <si>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</si>
  <si>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</si>
  <si>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</si>
  <si>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</si>
  <si>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</si>
  <si>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</si>
  <si>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</si>
  <si>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</si>
  <si>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</si>
  <si>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</si>
  <si>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t>Lidhje fikse</t>
    </r>
    <r>
      <rPr>
        <sz val="10"/>
        <rFont val="Arial"/>
        <family val="2"/>
      </rPr>
      <t xml:space="preserve"> Kruja New-AMC New; Flamurit-Ligovuni;  Shengjini-Shenkolli;  Dobrej New-Mide;</t>
    </r>
  </si>
  <si>
    <r>
      <t>Lidhje fikse</t>
    </r>
    <r>
      <rPr>
        <sz val="10"/>
        <rFont val="Arial"/>
        <family val="2"/>
      </rPr>
      <t xml:space="preserve"> Kruja New-AMC New; Flamurit-Ligovuni;Shengjini-Shenkolli;  Dobrej New-Mide;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</si>
  <si>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</si>
  <si>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</si>
  <si>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</si>
  <si>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</si>
  <si>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</si>
  <si>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</si>
  <si>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</si>
  <si>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</si>
  <si>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</si>
  <si>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</si>
  <si>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</si>
  <si>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</si>
  <si>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</si>
  <si>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</si>
  <si>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  <family val="2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</si>
  <si>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</si>
  <si>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</si>
  <si>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</si>
  <si>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</si>
  <si>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</si>
  <si>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</si>
  <si>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</si>
  <si>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</si>
  <si>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</si>
  <si>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</si>
  <si>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</si>
  <si>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</si>
  <si>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</si>
  <si>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</si>
  <si>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</si>
  <si>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</si>
  <si>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  <family val="2"/>
      </rPr>
      <t xml:space="preserve"> Ardenice-Ligovun;  Gllave - Therepele;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</si>
  <si>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</si>
  <si>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Mida - Theth;</t>
    </r>
  </si>
  <si>
    <r>
      <t xml:space="preserve">Lidhje fikse </t>
    </r>
    <r>
      <rPr>
        <sz val="10"/>
        <rFont val="Arial"/>
        <family val="2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</si>
  <si>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</si>
  <si>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</si>
  <si>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</si>
  <si>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Arapaj - Lure;</t>
    </r>
  </si>
  <si>
    <r>
      <t xml:space="preserve">Lidhje fikse </t>
    </r>
    <r>
      <rPr>
        <sz val="10"/>
        <rFont val="Arial"/>
        <family val="2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</si>
  <si>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</si>
  <si>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</si>
  <si>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  <family val="2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</si>
  <si>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  <family val="2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</si>
  <si>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</si>
  <si>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</si>
  <si>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</si>
  <si>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</si>
  <si>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</si>
  <si>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</si>
  <si>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</si>
  <si>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</si>
  <si>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</si>
  <si>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</si>
  <si>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</si>
  <si>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</si>
  <si>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</si>
  <si>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</si>
  <si>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</si>
  <si>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</si>
  <si>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</si>
  <si>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</si>
  <si>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</si>
  <si>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</si>
  <si>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</si>
  <si>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</si>
  <si>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</si>
  <si>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</si>
  <si>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</si>
  <si>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</si>
  <si>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</si>
  <si>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</si>
  <si>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</si>
  <si>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</si>
  <si>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</si>
  <si>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  <family val="2"/>
      </rPr>
      <t xml:space="preserve"> MTX 2- Hygeia;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</si>
  <si>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</si>
  <si>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</si>
  <si>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</si>
  <si>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  <family val="2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</si>
  <si>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</si>
  <si>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Korce - Drenove;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</si>
  <si>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</si>
  <si>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  <family val="2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</si>
  <si>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</si>
  <si>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</si>
  <si>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</si>
  <si>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</si>
  <si>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</si>
  <si>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</si>
  <si>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</si>
  <si>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</si>
  <si>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</si>
  <si>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</si>
  <si>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</si>
  <si>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</si>
  <si>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  <family val="2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</si>
  <si>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</si>
  <si>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</si>
  <si>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</si>
  <si>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</si>
  <si>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Vlora East-Kanina;Tushemisht-Cervenake;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</si>
  <si>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</si>
  <si>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</si>
  <si>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</si>
  <si>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</si>
  <si>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</si>
  <si>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</si>
  <si>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t>Lidhje fikse</t>
    </r>
    <r>
      <rPr>
        <sz val="10"/>
        <rFont val="Arial"/>
        <family val="2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</si>
  <si>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</si>
  <si>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</si>
  <si>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</si>
  <si>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</si>
  <si>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</si>
  <si>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</si>
  <si>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</si>
  <si>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</si>
  <si>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</si>
  <si>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</si>
  <si>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</si>
  <si>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</si>
  <si>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</si>
  <si>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</si>
  <si>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</si>
  <si>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</si>
  <si>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</si>
  <si>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</si>
  <si>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</si>
  <si>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</si>
  <si>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</si>
  <si>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</si>
  <si>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</si>
  <si>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</si>
  <si>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</si>
  <si>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Dhjetori 21-Linza;Durres Port-Shijaku New; DTA-Vila Presidentit;  Durres Tv - Mali i Robit;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</si>
  <si>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</si>
  <si>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</si>
  <si>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</si>
  <si>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</si>
  <si>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</si>
  <si>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</si>
  <si>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</si>
  <si>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</si>
  <si>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</si>
  <si>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</si>
  <si>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</si>
  <si>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</si>
  <si>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</si>
  <si>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  <family val="2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</si>
  <si>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</si>
  <si>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</si>
  <si>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</si>
  <si>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</si>
  <si>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</si>
  <si>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</si>
  <si>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</si>
  <si>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</si>
  <si>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</si>
  <si>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</si>
  <si>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</si>
  <si>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</si>
  <si>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</si>
  <si>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</si>
  <si>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</si>
  <si>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</si>
  <si>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Mile- Kepi i Qefaliajt;  Ballsh- Damesi;  Balldren-Qyrsac;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</si>
  <si>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Mile- Kepi i Qefaliajt;  Ballsh- Damesi; Balldren-Qyrsac;</t>
    </r>
  </si>
  <si>
    <r>
      <t xml:space="preserve">Lidhje fikse : </t>
    </r>
    <r>
      <rPr>
        <sz val="10"/>
        <rFont val="Arial"/>
        <family val="2"/>
      </rPr>
      <t>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</si>
  <si>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</si>
  <si>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Condor Center- Fushë Dajt; IdeaTel-Preze;Perlati-Kurbneshi;Dobrenji-Q.Prushi;Leskovik-Carshova;Gllava-Bogova;Mendraka-Gramsh;Polican-Berat X;Asim Zeneli - 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</si>
  <si>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Condor Center- Fushë Dajt; IdeaTel-Preze;Perlati-Kurbneshi;Dobrenji-Q.Prushi;Leskovik-Carshova;Gllava-Bogova;Mendraka-Gramsh;Polican-Berat X;Asim Zeneli-Sopoti;Gjuzaj-Grabian;Shen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</si>
  <si>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</si>
  <si>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Dajti;Morave - Tv Korce;  Rtsh - Lapidari;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</si>
  <si>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</si>
  <si>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</si>
  <si>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</si>
  <si>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</si>
  <si>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- ATU POP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</si>
  <si>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Kukes - ATU POP Kukes;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</si>
  <si>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  Karpen - Kavaja North;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</si>
  <si>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</si>
  <si>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</si>
  <si>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</si>
  <si>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</si>
  <si>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</si>
  <si>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t xml:space="preserve">Lidhje fikse </t>
    </r>
    <r>
      <rPr>
        <sz val="10"/>
        <rFont val="Arial"/>
        <family val="2"/>
      </rPr>
      <t>Preze-Lezhe Kala, Dajt-Ardenice,Zvernec-Gllave;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</si>
  <si>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</si>
  <si>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Sukthi New- Shijaku New;  Swift ABA - Sauku X;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</si>
  <si>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</si>
  <si>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</si>
  <si>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</si>
  <si>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Unaza Re New - Yzberishti;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</si>
  <si>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</si>
  <si>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Kamza City - Yzberishti;  Lisi i Becit - Mendrake;  Elbasani New - Petreshi;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</si>
  <si>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</si>
  <si>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</si>
  <si>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, Helmes-Gllava,  Lajthiza-Tregtani, Librazhdi-Cervenaka;  Palermo-Thanasi, Razma-Taraboshi    Truncit-Tregtani, Vinjolli-Lurthi  Voskopoja-Pepellashi, Fani-Lurthi, Berati X- Krutje;Lidhje fikse Gjuzaj-Grabjani;  Golem South - Kryevidhi ;Frasheri - Pepellashi ;Ulza - Kurbneshi; Hotolishti- Cervenaka;Zogaj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</si>
  <si>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 Zall Bastar - Vaqarri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</si>
  <si>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Nenmavriqi-Thethi,Zall Bastar - Vaqarri ; 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</si>
  <si>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Grabian-Lushnje; Sterberg-Kavaje ;Tirana Cemetary- Baldushku; Mirasi- Dardha Korce;  Lisi - Burrel CNR;  Librazhd- Dardha;Taraboshi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</si>
  <si>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</si>
  <si>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</si>
  <si>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Gjuzaj-Grabjani;  Golem South - Kryevidhi ; Frasheri - Pepellashi ;Ulza - Kurbneshi; 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</si>
  <si>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</si>
  <si>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</si>
  <si>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</si>
  <si>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</si>
  <si>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</si>
  <si>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 </t>
    </r>
    <r>
      <rPr>
        <sz val="10"/>
        <rFont val="Arial"/>
        <family val="2"/>
      </rPr>
      <t>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</si>
  <si>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  Kukes Rep. - Lajthiza;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</si>
  <si>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Golem - Qerret 3;  Kryeziu - Equos Resort;  Kertushaj - Kuraten;  Zvernec - Panaja;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</si>
  <si>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</si>
  <si>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</si>
  <si>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Sauku- Teg;   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</si>
  <si>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Teg;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</si>
  <si>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</si>
  <si>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</si>
  <si>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Gllava-Zhulaj;  Mendraka-Lapardha;  Gostime-Elbasan North West;              Preze-Spitali Ushtarak; Kertushaj-Shengjini;Pinet-FB Durres; Cervenake-Qukes; Qafe Shtame-Shpali Rep;  Palushi-Kukes Rep;  Nikollaqit Rep- Hormova;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</si>
  <si>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</si>
  <si>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Lake - Komuna e Parisit; Kryeroza- SaukuX; Vlore South 2-Rradhime 2;  Royal Gaz-Vrinasi; AMC South-MSC Kashari;  Sukthi Highway - Shijaku New;  Preze - Antea;  Librazhd - Dorezi;</t>
    </r>
  </si>
  <si>
    <r>
      <t xml:space="preserve">Lidhje fikse  </t>
    </r>
    <r>
      <rPr>
        <sz val="10"/>
        <rFont val="Arial"/>
        <family val="2"/>
      </rPr>
      <t>Saku-AMC New, Vora-AMCNew;  Bogova-Corovoda;Mide-Fushe Arrez;Treblove-Gllava;  Lurthi - Perlati;  Sheshi - Kryevidhi;  Mile - Ksamil;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</si>
  <si>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Bogova-Corovoda;Mide-Fushe Arrez;Treblove-Gllava;  Lurthi - Perlati;  Sheshi - Kryevidhi;  Mile - Ksamil;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</si>
  <si>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</si>
  <si>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</si>
  <si>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  Ksamili - Ksamil West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</si>
  <si>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</si>
  <si>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</si>
  <si>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Ksamili - Ksamil CNR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</si>
  <si>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</si>
  <si>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Preze - Babasi COO;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</si>
  <si>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</si>
  <si>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</si>
  <si>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</si>
  <si>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</si>
  <si>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</si>
  <si>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</si>
  <si>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</si>
  <si>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</si>
  <si>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Laci Center - Pllana New; News 24- Linza; Spitalla- Vrinasi; Treshi- Kodra e Kuqe;  Gryke Caj - Truncit;  Pogoni - BTB Pogoni;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</si>
  <si>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  Elbasani Tunel - Krraba;  Shkodra Treni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</si>
  <si>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Gjokaj - Vora;  Cuka- Saranda;Metalurgjiku- Petreshi; Petrela- Sauku X;Hotel Kubik-Sauku x;  Kukes 2 - Kukes New;  Elbasani Tunel - Krraba;  Shkodra Treni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</si>
  <si>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Misto Mame- Yzberisht; Prokuroria MI-Zogu i Zi;  Tepelene - Tepelene Hill;</t>
    </r>
  </si>
  <si>
    <r>
      <t xml:space="preserve">Lidhje fikse : </t>
    </r>
    <r>
      <rPr>
        <sz val="10"/>
        <rFont val="Arial"/>
        <family val="2"/>
      </rPr>
      <t>Ligovuni - Krutje ;Menderake- Petresh ;Menderake- Gllave;  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</si>
  <si>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;  Ligovuni - Krutje ;Menderake- Petresh ;Menderake- Gllave;  Drithas-Cangonji New;Cangonji New-Kapshtica;  Gllava-Gjirokastra;  Cervenaka - Drithas;  Kryevidhi - Vrinasi;  Fushe Dajti - Fllaka;</t>
    </r>
  </si>
  <si>
    <r>
      <t>Lidhje fikse</t>
    </r>
    <r>
      <rPr>
        <sz val="10"/>
        <rFont val="Arial"/>
        <family val="2"/>
      </rPr>
      <t xml:space="preserve"> Gjinar -Shmil;Petresh-Dragostunje ;Petresh-Gorice;  Fushe Dajt - Petresh;</t>
    </r>
  </si>
  <si>
    <r>
      <t>Lidhje fikse</t>
    </r>
    <r>
      <rPr>
        <sz val="10"/>
        <rFont val="Arial"/>
        <family val="2"/>
      </rPr>
      <t xml:space="preserve"> Petresh-Dragostunje;Petresh-Gorice;  Fushe Dajt - Petresh;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</si>
  <si>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Farka - Poligrafiku;  Kryeziu - Flumen Park;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</si>
  <si>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Palushi - Gryke Caje;  Perlat - Ulza;  Memaliaj - Luftinje;  Dragobi - Valbona;  Karaburuni - Summer Depo Vlore;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</si>
  <si>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Palushi - Gryke Caje;  Perlat - Ulza;  Memaliaj - Luftinje;  Dragobi - Valbona;  Karaburuni - Summer Depo Vlore;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</si>
  <si>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</si>
  <si>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</si>
  <si>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</si>
  <si>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 New - Shenkolli;Kolaj-Tarabosh;  Elbasani Park - Petreshi;  Vlora Marina - Kanine;  Vlora_Camp - Zvernec;  Shkodra Liqeni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</si>
  <si>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</si>
  <si>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  Gllava - Ballabani;  Petreshi - Aldeku;  Kolonje - Margellic;  Peshkopia South - Maqellare;  Preze - Kruja HUB;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</si>
  <si>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Babrruja - Qafe Shtama;  Gllava - Memaliaj;  Balldren - Lezhe;  Rrogozhina - Peqin CNR;  Cuka - Ksamil;  Kertushaj - Gjiri i Lalzit;  Fushe Kruje - Borizana;</t>
    </r>
  </si>
  <si>
    <r>
      <t xml:space="preserve">Lidhje fikse </t>
    </r>
    <r>
      <rPr>
        <sz val="10"/>
        <rFont val="Arial"/>
        <family val="2"/>
      </rPr>
      <t>Gllava- Qesarat;  Pllana - Rana e Hedhun 2;  Nikollaqit Rep. - Hormova;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</si>
  <si>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</si>
  <si>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</si>
  <si>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</si>
  <si>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</si>
  <si>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</si>
  <si>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Saranda-Sopoti TV;   Bilisht-Cangonji New;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</si>
  <si>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Kodra e Diellit-Linza;Labinoti Ml-Shmil;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</si>
  <si>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Kodra e Diellit-Linza;Labinoti Ml-Shmil;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</si>
  <si>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</si>
  <si>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</si>
  <si>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</si>
  <si>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</si>
  <si>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</si>
  <si>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</si>
  <si>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t xml:space="preserve">Lidhje fikse </t>
    </r>
    <r>
      <rPr>
        <sz val="10"/>
        <rFont val="Arial"/>
        <family val="2"/>
      </rPr>
      <t>Misto Mame-TR Base;  Himara - Potam;  Selita - Hotel Arka;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</si>
  <si>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</si>
  <si>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Tresova - Cow (GurShqipe);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</si>
  <si>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Hani i Hotit - Boge;  Maliq - Drenova;  Palushi - Peshkopia North;  Broja - Kelmendi;  Shkodra Kiras - Taraboshi;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</si>
  <si>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 Shmil - Derje;  Koder Vore - Qafe Shtame;  Sauku X - AMC New;  Velipoje - Velipoje;  Velipoje - Velipoje Plazh;  Delvina Hill - Alb_Delvina;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</si>
  <si>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Shmil - Derje;  Koder Vore - Qafe Shtame;  Sauku X - AMC New;  Velipoje - Velipoje;  Velipoje - Velipoje Plazh;  Delvina Hill - Alb_Delvina;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</si>
  <si>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</si>
  <si>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</si>
  <si>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Petreshi- Elbasan CNR 3;Babrruja- Vizion Plus; Sauku- Surrel;  Zvernec-Cole;  Poshnje - Lapardha;  Borizana - Pllana;  Durres Rep. - Hamallaj;  Sterberg - Rrogozhina;  Preze - Shijak;  Kertushaj - Fushe Kruje;  Gostime - Elbasan Llixhat;  Thanasit Rep. - Zoe Hora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</si>
  <si>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Thanas Rep- Dhermi; Zvernec- Vlore Hill; Arapaj Hill-Durres CNR; MTX2-Preze; Kolonje-Pojani;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</si>
  <si>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Thanas Rep- Dhermi; Zvernec- Vlore Hill; Arapaj Hill-Durres CNR;  MTX2-Preze;  Kolonje-Pojani;;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</si>
  <si>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</si>
  <si>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  Lezhe-Tarabosh;Shen Vasia - Muzina;Vain- Mbreshtan;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</si>
  <si>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</si>
  <si>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</si>
  <si>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</si>
  <si>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</si>
  <si>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t>Bulqiza Rep.-Perlat;  Cfiri- Krutje;Rrjaca-Cervenaka;Shkjeza-Kurbneshi;Mezhgorani-Kurvelesh; Gllava- Permet;  Morini - Kukes 2;  Tropoja-Mide; Golemi-Kryevidh;  Shmili-Cervenaka;  Kacinari - Konaj;  Cangoji - Tresova;  Mezhgorani - Topova;  Peshkopia South - Klenja;  Selishta - Lura; 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</si>
  <si>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Korbit- Kamenice; Thanasit-Himara New; Alb Cakran- Likovun FI1001;  Mali i Krujes- Albcontrol sha. Godina e Teknikes; Bulqiza Rep.-Perlat;  Gllava- Permet;  Glina - Gjirokastra;  Cfiri- Krutje;Rrjaca-Cervenaka;Shkjeza-Kurbneshi;Mezhgorani-Kurvelesh;  Morini - Kukes 2;  Tropoja-Mide; Golemi-Kryevidh;  Shmili-Cervenaka;  Kacinari - Konaj;  Cangoji - Tresova;  Mezhgorani - Topova;  Peshkopia South - Klenja;  Selishta - Lura;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</si>
  <si>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Libohove - Keculle;  Gramshi - Petreshi;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</si>
  <si>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Libohove - Keculle;  Gramshi - Petreshi;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</si>
  <si>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</si>
  <si>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</si>
  <si>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Office-Linze,  Grunjas-Cerrave,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</si>
  <si>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Dutch Embassy- Sauku;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</si>
  <si>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Tushemishti - Pogradec South;  Golem - Kavaje CNR;  Kukes - Atu Pop Kukes;  Thanasit Rep. - Drymadhes;  Asim Zenelit - Dervican;  Kukes - Kukes 2;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</si>
  <si>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Porti-Kantina;  Sarande- Cuka;  Palermo - Himara New;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</si>
  <si>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 Porti-Kantina;  Sarande- Cuka;  Palermo - Himara New;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 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</si>
  <si>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</si>
  <si>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Tregtani - Mida;  Mile - Thanasit;  Kukesi New - Mida;  Radomi - Pepellashi;  Berati X - Krutja;  Kryevidhi - Vrinasi;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</si>
  <si>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 val="single"/>
        <sz val="10"/>
        <rFont val="Arial"/>
        <family val="2"/>
      </rPr>
      <t xml:space="preserve">Petresh-Gramsh;  </t>
    </r>
    <r>
      <rPr>
        <sz val="10"/>
        <rFont val="Arial"/>
        <family val="2"/>
      </rPr>
      <t>Haderaj New - Zvernec;  Gjuzaj - Grabjani;  Bogove - Gllave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</si>
  <si>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 val="single"/>
        <sz val="10"/>
        <rFont val="Arial"/>
        <family val="2"/>
      </rPr>
      <t>Petresh-Gramsh</t>
    </r>
    <r>
      <rPr>
        <b/>
        <sz val="10"/>
        <rFont val="Arial"/>
        <family val="2"/>
      </rPr>
      <t xml:space="preserve">;  </t>
    </r>
    <r>
      <rPr>
        <sz val="10"/>
        <rFont val="Arial"/>
        <family val="2"/>
      </rPr>
      <t>Haderaj New - Zvernec;  Gjuzaj - Grabjani;' Bogove - Gllave;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</si>
  <si>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</si>
  <si>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</si>
  <si>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Cardhak - Korca;  Corovode -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</si>
  <si>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</si>
  <si>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</si>
  <si>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 - Zverneci;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</si>
  <si>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 ; Gjadri-Lezha 2;  Vlora Beach-Zvernec;   Durres TV- Krutje; Korca West- Korbit;  Boga-Kores;  Leshnje-Malindi ; Fush Buall-Labinot;  Topova-Pogoni;BTB Ftera-Vranisht,Fushe Bardhe-Picar;  Kurvelesh-Tepelene;  Lushnje Bashkia -Grabjani;Kavaja New-Durres Hill; Rakicka-Kapshtica;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</si>
  <si>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Lurthi;  Gjadri-Lezha 2;  Vlora Beach-Zvernec;  Durres TV- Krutje; Korca West- Korbit;  Boga-Kores;  ;Leshnje-Malindi ; Fush Buall-Labinot;  Topova-Pogoni;BTB Ftera-Vranisht,Fushe Bardhe-Picar;  Kurvelesh-Tepelene;  Lushnje Bashkia -Grabjani;Kavaja New-Durres Hill; Rakicka-Kapshtica;  Limak SC - Gopeshi;  Viluni SC - Velipoja;  Lukova Beach SC - Palermo;  King Park_MI - Saukux;  Viohalko - Sheshi;  Puka City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</si>
  <si>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  Skrapar - Bogove;  Ksamili New - Mile;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</si>
  <si>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  Skrapar - Bogove;  Ksamili New - Mile;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</si>
  <si>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 Spille - Spille SC;  Arapaj Hill - Hotel Pascucci Micro;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</si>
  <si>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  Spille - Spille SC;  Arapaj Hill - Hotel Pascucci Micro;</t>
    </r>
  </si>
  <si>
    <r>
      <t xml:space="preserve">Lidhje fikse  </t>
    </r>
    <r>
      <rPr>
        <sz val="10"/>
        <rFont val="Arial"/>
        <family val="2"/>
      </rPr>
      <t>Arapaj Hill - Mektrin Motors SC;  Durresi Rep. - Mektrin Motors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</si>
  <si>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  Damesi - Pocemi;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</si>
  <si>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  Damesi - Pocemi;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</si>
  <si>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</si>
  <si>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  Arbana - Sauku X;  Qafe Shtama - Larushku;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</si>
  <si>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Fushe Arrezi - Puka;  Preze - Marikaj;  Balldren - Barbullush;  Taraboshit - Velipoja;  Kertushaj - Borizana 2;  Ballsh - Zhulaj;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</si>
  <si>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Fushe Arrezi - Puka;  Preze - Marikaj;  Balldren - Barbullush;  Taraboshit - Velipoja;  Kertushaj - Borizana 2;  Ballsh - Zhulaj;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</si>
  <si>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Lisi - Selishta;  Cervenake - Stravaj;  Fushe Arrezi - Qafa e Malit;  Kukes Rep. - Meziu;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</si>
  <si>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Lisi - Selishta;  Cervenake - Stravaj;  Fushe Arrezi - Qafa e Malit;  Kukes Rep. - Meziu.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</si>
  <si>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  Mendraka - Bregasi;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</si>
  <si>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  Mendraka - Bregasi;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</si>
  <si>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:Sopoti TV-Delvinak_X;  Qafe Shtame- Midhes Rep;  Lezhe- Tarabosh;   Krutja- Mendrake; MTX 2- Borizana; Borizana- Lezhë; Grabian- Peshtan; Peshtan- Zvernec; Midhes Rep- Kukes Rep; Gllava- Nikollaqit Rep; Milë- Nikollaqit Rep; 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</si>
  <si>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 Qafe Shtame- Midhes Rep;  Lezhe- Tarabosh;  Krutja- Mendrake; MTX 2- Borizana; Borizana- Lezhë; Grabian- Peshtan; Peshtan- Zvernec; Midhes Rep- Kukes Rep; Gllava- Nikollaqit Rep; Milë- Nikollaqit Rep;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</si>
  <si>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  Lunci - Hysgjokaj;  MTX2 - Murriza Rep.;  Murriza Rep. - Peshkopia South;  Poshnje - Ballsh;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</si>
  <si>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  Zavalina - Mendraka;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</si>
  <si>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  Zavalina - Mendraka;</t>
    </r>
  </si>
  <si>
    <r>
      <t>Lidhje fikse</t>
    </r>
    <r>
      <rPr>
        <sz val="10"/>
        <rFont val="Arial"/>
        <family val="2"/>
      </rPr>
      <t xml:space="preserve">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  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Plangarica - Sauku X;</t>
    </r>
  </si>
  <si>
    <r>
      <t>Lidhje fikse</t>
    </r>
    <r>
      <rPr>
        <sz val="10"/>
        <rFont val="Arial"/>
        <family val="2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  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Plangarica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</si>
  <si>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  Balldren-Qyrsac;  Poshnje - Mbrostar;  Berdice - Barcolle;  Pepellash - Mollas;  Murrize - Zall Bastar;  Kukes Rep. - Kukes South;  Shpali Rep. - Sucelit;  Gjinar - Porocani;  Laci 2 - Shenkolli;  Mamurrasi New - Shenkolli;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</si>
  <si>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Cangonji-Mirasi;Cerrave - Korce South;  Balldren-Qyrsac;  Poshnje - Mbrostar;  Berdice - Barcolle;  Pepellash - Mollas;  Murrize - Zall Bastar;  Kukes Rep. - Kukes South;  Shpali Rep. - Sucelit;  Gjinar - Porocani;  Laci 2 - Shenkolli;  Mamurrasi New - Shenkolli;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</si>
  <si>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Murriz- Boville;  Corrovode - Therepele;  Qafa Murrizit - MSC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</si>
  <si>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Murriz- Boville;  Corrovode - Therepele;  Qafa Murrizit - MSC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</si>
  <si>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Kryevidh - Durres Marina;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</si>
  <si>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Kryevidh - Durres Marina;  Papelash - Poda;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</si>
  <si>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Mali I Robit-Kryevidhi;  Burreli new- Lurthi;  Lajthiza - Tregtani ;Helmes - Gllava ;Porocani - Petreshi;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</si>
  <si>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Banja-Gradishta;  Cfiri-Krutje, Deshiran-Poshnje, Gjebres-Gramsh, Gjorgos-Krutje; Gorica-Prespa;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Rajca-Cervenake Shen Vasili-Sopoti TV, Thethi-Mide,Zhulaj-Gllava;  Zogaj-Tregtan, Uleza-Kurbnesh, Grunjasi-Cangonji New, Gjorgos-Krutje, iluri-Mali Thanasit, Ulza-Kurbnesh;  Mali I Robit-Kryevidhi;   Burreli New- Lurthi;  Lajthiza - Tregtani ;Helmes - Gllava ;Porocani - Petreshi ;  Zavalina-Mendraka;  Radanji-Pepellashi;  Lura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</si>
  <si>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New;  BTB Pogoni - Sopoti TV;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</si>
  <si>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New;  BTB Pogoni - 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</si>
  <si>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 Gjeli -Kodra Kuqe ;Casa Italia-Yzberisht;  Equos_SC - Kryeziu;  Shijaku_City - Shijaku New;  Dukat_SC - Thanasit;  Babrru - Kodra Kuqe;  Kanina_South_SC - Kanina;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</si>
  <si>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Gjeli -Kodra Kuqe ;Casa Italia-Yzberisht;  Equos_SC - Kryeziu;  Shijaku_City - Shijaku New;  Dukat_SC - Thanasit;  Babrru - Kodra Kuqe;  Kanina_South_SC - Kanina;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</si>
  <si>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 - Tregtani;  Krasta - Bater;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</si>
  <si>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Rep- Tregtani;  Krasta - Bater;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</si>
  <si>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  Golem - Seferaj;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</si>
  <si>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;Rrila-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</si>
  <si>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Pelikani_FZ - Pitman;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</si>
  <si>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Pelikani_FZ - Pitman;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</si>
</sst>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46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/>
    <xf numFmtId="0" fontId="1" fillId="5" borderId="19" xfId="0" applyFont="1" applyFill="1" applyBorder="1"/>
    <xf numFmtId="0" fontId="0" fillId="4" borderId="20" xfId="0" applyFill="1" applyBorder="1"/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4" borderId="2" xfId="0" applyFill="1" applyBorder="1"/>
    <xf numFmtId="0" fontId="0" fillId="5" borderId="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0" borderId="27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/>
    <xf numFmtId="0" fontId="11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3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4" borderId="35" xfId="0" applyFill="1" applyBorder="1"/>
    <xf numFmtId="0" fontId="1" fillId="4" borderId="35" xfId="0" applyFont="1" applyFill="1" applyBorder="1"/>
    <xf numFmtId="0" fontId="0" fillId="4" borderId="32" xfId="0" applyFill="1" applyBorder="1"/>
    <xf numFmtId="0" fontId="0" fillId="4" borderId="28" xfId="0" applyFill="1" applyBorder="1"/>
    <xf numFmtId="0" fontId="11" fillId="4" borderId="32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23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1" fillId="0" borderId="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/>
    <xf numFmtId="0" fontId="1" fillId="5" borderId="25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0" fillId="4" borderId="3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/>
    <xf numFmtId="0" fontId="0" fillId="6" borderId="3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ont="1" applyFill="1" applyBorder="1" applyAlignment="1">
      <alignment horizontal="center"/>
    </xf>
    <xf numFmtId="0" fontId="0" fillId="6" borderId="30" xfId="0" applyFill="1" applyBorder="1"/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2" xfId="0" applyFont="1" applyFill="1" applyBorder="1"/>
    <xf numFmtId="0" fontId="0" fillId="0" borderId="27" xfId="0" applyFont="1" applyFill="1" applyBorder="1"/>
    <xf numFmtId="0" fontId="0" fillId="4" borderId="31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shrinkToFit="1"/>
    </xf>
    <xf numFmtId="2" fontId="0" fillId="4" borderId="1" xfId="0" applyNumberFormat="1" applyFill="1" applyBorder="1" applyAlignment="1">
      <alignment horizontal="center" vertical="center" shrinkToFit="1"/>
    </xf>
    <xf numFmtId="2" fontId="0" fillId="4" borderId="29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0" fillId="4" borderId="2" xfId="2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/>
      <protection/>
    </xf>
    <xf numFmtId="0" fontId="0" fillId="4" borderId="29" xfId="21" applyFill="1" applyBorder="1" applyAlignment="1">
      <alignment horizontal="center"/>
      <protection/>
    </xf>
    <xf numFmtId="0" fontId="0" fillId="0" borderId="28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19" fillId="4" borderId="24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/>
    </xf>
    <xf numFmtId="0" fontId="16" fillId="4" borderId="29" xfId="0" applyFont="1" applyFill="1" applyBorder="1"/>
    <xf numFmtId="0" fontId="20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/>
    </xf>
    <xf numFmtId="0" fontId="0" fillId="5" borderId="4" xfId="0" applyFill="1" applyBorder="1"/>
    <xf numFmtId="0" fontId="2" fillId="5" borderId="6" xfId="0" applyFont="1" applyFill="1" applyBorder="1" applyAlignment="1">
      <alignment horizontal="center" wrapText="1"/>
    </xf>
    <xf numFmtId="0" fontId="0" fillId="4" borderId="31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1" fillId="5" borderId="36" xfId="0" applyFont="1" applyFill="1" applyBorder="1"/>
    <xf numFmtId="0" fontId="0" fillId="0" borderId="1" xfId="0" applyFont="1" applyBorder="1" applyAlignment="1">
      <alignment horizontal="left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5" borderId="38" xfId="0" applyFont="1" applyFill="1" applyBorder="1"/>
    <xf numFmtId="0" fontId="0" fillId="0" borderId="39" xfId="0" applyBorder="1"/>
    <xf numFmtId="0" fontId="17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1" fillId="0" borderId="30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4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3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6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4" fillId="7" borderId="42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996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208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309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512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411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613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71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817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7020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99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601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704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80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91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905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600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106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51"/>
  <sheetViews>
    <sheetView tabSelected="1" workbookViewId="0" topLeftCell="A1"/>
  </sheetViews>
  <sheetFormatPr defaultColWidth="9.140625" defaultRowHeight="12.75"/>
  <cols>
    <col min="3" max="3" width="8.8515625" style="0" customWidth="1"/>
    <col min="4" max="4" width="8.7109375" style="0" customWidth="1"/>
    <col min="5" max="5" width="11.8515625" style="0" customWidth="1"/>
    <col min="6" max="6" width="11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0.8515625" style="0" customWidth="1"/>
    <col min="11" max="11" width="11.00390625" style="0" customWidth="1"/>
    <col min="12" max="12" width="11.7109375" style="0" customWidth="1"/>
    <col min="13" max="13" width="9.7109375" style="0" customWidth="1"/>
    <col min="20" max="20" width="30.57421875" style="0" customWidth="1"/>
    <col min="21" max="21" width="25.28125" style="0" customWidth="1"/>
    <col min="22" max="22" width="24.8515625" style="0" customWidth="1"/>
  </cols>
  <sheetData>
    <row r="3" ht="13.5" thickBot="1"/>
    <row r="4" spans="4:13" ht="12.75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ht="12.75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ht="12.75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ht="12.75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ht="12.75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ht="12.75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ht="12.75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ht="12.75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ht="12.75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ht="12.75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ht="12.75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ht="12.75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ht="12.75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ht="12.75">
      <c r="D17" s="77"/>
      <c r="E17" s="79"/>
      <c r="F17" s="385" t="s">
        <v>393</v>
      </c>
      <c r="G17" s="386"/>
      <c r="H17" s="386"/>
      <c r="I17" s="386"/>
      <c r="J17" s="386"/>
      <c r="K17" s="387"/>
      <c r="L17" s="79"/>
      <c r="M17" s="78"/>
    </row>
    <row r="18" spans="4:13" ht="12.75">
      <c r="D18" s="77"/>
      <c r="E18" s="79"/>
      <c r="F18" s="388"/>
      <c r="G18" s="389"/>
      <c r="H18" s="389"/>
      <c r="I18" s="389"/>
      <c r="J18" s="389"/>
      <c r="K18" s="390"/>
      <c r="L18" s="79"/>
      <c r="M18" s="78"/>
    </row>
    <row r="19" spans="4:13" ht="12.75">
      <c r="D19" s="77"/>
      <c r="E19" s="79"/>
      <c r="F19" s="388"/>
      <c r="G19" s="389"/>
      <c r="H19" s="389"/>
      <c r="I19" s="389"/>
      <c r="J19" s="389"/>
      <c r="K19" s="390"/>
      <c r="L19" s="79"/>
      <c r="M19" s="78"/>
    </row>
    <row r="20" spans="4:13" ht="12.75">
      <c r="D20" s="77"/>
      <c r="E20" s="79"/>
      <c r="F20" s="388"/>
      <c r="G20" s="389"/>
      <c r="H20" s="389"/>
      <c r="I20" s="389"/>
      <c r="J20" s="389"/>
      <c r="K20" s="390"/>
      <c r="L20" s="79"/>
      <c r="M20" s="78"/>
    </row>
    <row r="21" spans="4:13" ht="12.75">
      <c r="D21" s="77"/>
      <c r="E21" s="79"/>
      <c r="F21" s="391"/>
      <c r="G21" s="392"/>
      <c r="H21" s="392"/>
      <c r="I21" s="392"/>
      <c r="J21" s="392"/>
      <c r="K21" s="393"/>
      <c r="L21" s="79"/>
      <c r="M21" s="78"/>
    </row>
    <row r="22" spans="4:13" ht="12.75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ht="12.75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>
      <c r="D25" s="77"/>
      <c r="E25" s="382" t="s">
        <v>395</v>
      </c>
      <c r="F25" s="383"/>
      <c r="G25" s="383"/>
      <c r="H25" s="384"/>
      <c r="I25" s="382" t="s">
        <v>396</v>
      </c>
      <c r="J25" s="383"/>
      <c r="K25" s="383"/>
      <c r="L25" s="384"/>
      <c r="M25" s="78"/>
    </row>
    <row r="26" spans="4:13" ht="12.75">
      <c r="D26" s="77"/>
      <c r="E26" s="409" t="s">
        <v>412</v>
      </c>
      <c r="F26" s="410"/>
      <c r="G26" s="410"/>
      <c r="H26" s="411"/>
      <c r="I26" s="394" t="s">
        <v>401</v>
      </c>
      <c r="J26" s="395"/>
      <c r="K26" s="395"/>
      <c r="L26" s="396"/>
      <c r="M26" s="78"/>
    </row>
    <row r="27" spans="4:13" ht="12.75">
      <c r="D27" s="77"/>
      <c r="E27" s="370" t="s">
        <v>413</v>
      </c>
      <c r="F27" s="371"/>
      <c r="G27" s="371"/>
      <c r="H27" s="372"/>
      <c r="I27" s="373" t="s">
        <v>400</v>
      </c>
      <c r="J27" s="374"/>
      <c r="K27" s="374"/>
      <c r="L27" s="375"/>
      <c r="M27" s="78"/>
    </row>
    <row r="28" spans="4:13" ht="12.75">
      <c r="D28" s="77"/>
      <c r="E28" s="370" t="s">
        <v>397</v>
      </c>
      <c r="F28" s="371"/>
      <c r="G28" s="371"/>
      <c r="H28" s="372"/>
      <c r="I28" s="373" t="s">
        <v>402</v>
      </c>
      <c r="J28" s="374"/>
      <c r="K28" s="374"/>
      <c r="L28" s="375"/>
      <c r="M28" s="78"/>
    </row>
    <row r="29" spans="4:13" ht="12.75">
      <c r="D29" s="77"/>
      <c r="E29" s="370" t="s">
        <v>398</v>
      </c>
      <c r="F29" s="371"/>
      <c r="G29" s="371"/>
      <c r="H29" s="372"/>
      <c r="I29" s="373" t="s">
        <v>402</v>
      </c>
      <c r="J29" s="374"/>
      <c r="K29" s="374"/>
      <c r="L29" s="375"/>
      <c r="M29" s="78"/>
    </row>
    <row r="30" spans="4:13" ht="12.75">
      <c r="D30" s="77"/>
      <c r="E30" s="370" t="s">
        <v>399</v>
      </c>
      <c r="F30" s="371"/>
      <c r="G30" s="371"/>
      <c r="H30" s="372"/>
      <c r="I30" s="373" t="s">
        <v>403</v>
      </c>
      <c r="J30" s="374"/>
      <c r="K30" s="374"/>
      <c r="L30" s="375"/>
      <c r="M30" s="78"/>
    </row>
    <row r="31" spans="4:13" ht="12.75">
      <c r="D31" s="77"/>
      <c r="E31" s="403" t="s">
        <v>416</v>
      </c>
      <c r="F31" s="404"/>
      <c r="G31" s="404"/>
      <c r="H31" s="405"/>
      <c r="I31" s="397" t="s">
        <v>404</v>
      </c>
      <c r="J31" s="398"/>
      <c r="K31" s="398"/>
      <c r="L31" s="399"/>
      <c r="M31" s="78"/>
    </row>
    <row r="32" spans="4:13" ht="12.75">
      <c r="D32" s="77"/>
      <c r="E32" s="406"/>
      <c r="F32" s="407"/>
      <c r="G32" s="407"/>
      <c r="H32" s="408"/>
      <c r="I32" s="400"/>
      <c r="J32" s="401"/>
      <c r="K32" s="401"/>
      <c r="L32" s="402"/>
      <c r="M32" s="78"/>
    </row>
    <row r="33" spans="4:13" ht="12.75">
      <c r="D33" s="77"/>
      <c r="E33" s="370" t="s">
        <v>195</v>
      </c>
      <c r="F33" s="371"/>
      <c r="G33" s="371"/>
      <c r="H33" s="372"/>
      <c r="I33" s="373" t="s">
        <v>405</v>
      </c>
      <c r="J33" s="374"/>
      <c r="K33" s="374"/>
      <c r="L33" s="375"/>
      <c r="M33" s="78"/>
    </row>
    <row r="34" spans="4:13" ht="12.75">
      <c r="D34" s="77"/>
      <c r="E34" s="370" t="s">
        <v>394</v>
      </c>
      <c r="F34" s="371"/>
      <c r="G34" s="371"/>
      <c r="H34" s="372"/>
      <c r="I34" s="373" t="s">
        <v>402</v>
      </c>
      <c r="J34" s="374"/>
      <c r="K34" s="374"/>
      <c r="L34" s="375"/>
      <c r="M34" s="78"/>
    </row>
    <row r="35" spans="4:13" ht="12.75">
      <c r="D35" s="77"/>
      <c r="E35" s="370" t="s">
        <v>214</v>
      </c>
      <c r="F35" s="371"/>
      <c r="G35" s="371"/>
      <c r="H35" s="372"/>
      <c r="I35" s="373" t="s">
        <v>402</v>
      </c>
      <c r="J35" s="374"/>
      <c r="K35" s="374"/>
      <c r="L35" s="375"/>
      <c r="M35" s="78"/>
    </row>
    <row r="36" spans="4:13" ht="12.75">
      <c r="D36" s="77"/>
      <c r="E36" s="370" t="s">
        <v>230</v>
      </c>
      <c r="F36" s="371"/>
      <c r="G36" s="371"/>
      <c r="H36" s="372"/>
      <c r="I36" s="373" t="s">
        <v>406</v>
      </c>
      <c r="J36" s="374"/>
      <c r="K36" s="374"/>
      <c r="L36" s="375"/>
      <c r="M36" s="78"/>
    </row>
    <row r="37" spans="4:13" ht="12.75">
      <c r="D37" s="77"/>
      <c r="E37" s="370" t="s">
        <v>414</v>
      </c>
      <c r="F37" s="371"/>
      <c r="G37" s="371"/>
      <c r="H37" s="372"/>
      <c r="I37" s="373" t="s">
        <v>407</v>
      </c>
      <c r="J37" s="374"/>
      <c r="K37" s="374"/>
      <c r="L37" s="375"/>
      <c r="M37" s="78"/>
    </row>
    <row r="38" spans="4:13" ht="12.75">
      <c r="D38" s="77"/>
      <c r="E38" s="370" t="s">
        <v>25</v>
      </c>
      <c r="F38" s="371"/>
      <c r="G38" s="371"/>
      <c r="H38" s="372"/>
      <c r="I38" s="373" t="s">
        <v>408</v>
      </c>
      <c r="J38" s="374"/>
      <c r="K38" s="374"/>
      <c r="L38" s="375"/>
      <c r="M38" s="78"/>
    </row>
    <row r="39" spans="4:13" ht="12.75">
      <c r="D39" s="77"/>
      <c r="E39" s="370" t="s">
        <v>38</v>
      </c>
      <c r="F39" s="371"/>
      <c r="G39" s="371"/>
      <c r="H39" s="372"/>
      <c r="I39" s="373" t="s">
        <v>408</v>
      </c>
      <c r="J39" s="374"/>
      <c r="K39" s="374"/>
      <c r="L39" s="375"/>
      <c r="M39" s="78"/>
    </row>
    <row r="40" spans="4:13" ht="12.75">
      <c r="D40" s="77"/>
      <c r="E40" s="370" t="s">
        <v>417</v>
      </c>
      <c r="F40" s="371"/>
      <c r="G40" s="371"/>
      <c r="H40" s="372"/>
      <c r="I40" s="373" t="s">
        <v>409</v>
      </c>
      <c r="J40" s="374"/>
      <c r="K40" s="374"/>
      <c r="L40" s="375"/>
      <c r="M40" s="78"/>
    </row>
    <row r="41" spans="4:13" ht="12.75">
      <c r="D41" s="77"/>
      <c r="E41" s="370" t="s">
        <v>41</v>
      </c>
      <c r="F41" s="371"/>
      <c r="G41" s="371"/>
      <c r="H41" s="372"/>
      <c r="I41" s="373" t="s">
        <v>410</v>
      </c>
      <c r="J41" s="374"/>
      <c r="K41" s="374"/>
      <c r="L41" s="375"/>
      <c r="M41" s="78"/>
    </row>
    <row r="42" spans="4:13" ht="13.5" thickBot="1">
      <c r="D42" s="77"/>
      <c r="E42" s="376" t="s">
        <v>415</v>
      </c>
      <c r="F42" s="377"/>
      <c r="G42" s="377"/>
      <c r="H42" s="378"/>
      <c r="I42" s="379" t="s">
        <v>411</v>
      </c>
      <c r="J42" s="380"/>
      <c r="K42" s="380"/>
      <c r="L42" s="381"/>
      <c r="M42" s="78"/>
    </row>
    <row r="43" spans="4:13" ht="12.75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ht="12.75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ht="12.75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ht="12.75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ht="12.75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ht="12.75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ht="12.75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ht="12.75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58"/>
  <sheetViews>
    <sheetView zoomScale="85" zoomScaleNormal="85" workbookViewId="0" topLeftCell="F19">
      <selection activeCell="K23" sqref="K23"/>
    </sheetView>
  </sheetViews>
  <sheetFormatPr defaultColWidth="9.140625" defaultRowHeight="12.75"/>
  <cols>
    <col min="2" max="2" width="10.8515625" style="0" customWidth="1"/>
    <col min="3" max="3" width="18.57421875" style="16" customWidth="1"/>
    <col min="4" max="4" width="9.140625" style="19" customWidth="1"/>
    <col min="5" max="5" width="13.7109375" style="0" customWidth="1"/>
    <col min="6" max="6" width="11.421875" style="0" customWidth="1"/>
    <col min="7" max="7" width="11.8515625" style="0" customWidth="1"/>
    <col min="8" max="8" width="53.140625" style="0" customWidth="1"/>
    <col min="10" max="10" width="11.00390625" style="0" customWidth="1"/>
    <col min="11" max="11" width="19.140625" style="12" customWidth="1"/>
    <col min="12" max="12" width="15.8515625" style="1" customWidth="1"/>
    <col min="14" max="14" width="12.140625" style="0" customWidth="1"/>
    <col min="15" max="15" width="11.8515625" style="0" customWidth="1"/>
    <col min="16" max="16" width="57.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0" t="s">
        <v>214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2:16" ht="15.75">
      <c r="B10" s="155"/>
      <c r="C10" s="84"/>
      <c r="D10" s="90"/>
      <c r="E10" s="423" t="s">
        <v>441</v>
      </c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2:16" ht="15">
      <c r="B11" s="157"/>
      <c r="C11" s="85"/>
      <c r="D11" s="86"/>
      <c r="E11" s="426" t="s">
        <v>418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2:16" ht="15.75" thickBot="1">
      <c r="B12" s="143"/>
      <c r="C12" s="103"/>
      <c r="D12" s="104"/>
      <c r="E12" s="429" t="s">
        <v>213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2">
        <v>1</v>
      </c>
      <c r="B15" s="83"/>
      <c r="C15" s="83"/>
      <c r="D15" s="141"/>
      <c r="E15" s="418" t="s">
        <v>215</v>
      </c>
      <c r="F15" s="419"/>
      <c r="G15" s="419" t="s">
        <v>218</v>
      </c>
      <c r="H15" s="419"/>
      <c r="I15" s="88" t="s">
        <v>217</v>
      </c>
      <c r="J15" s="419" t="s">
        <v>216</v>
      </c>
      <c r="K15" s="419"/>
      <c r="L15" s="89" t="s">
        <v>442</v>
      </c>
      <c r="M15" s="83"/>
      <c r="N15" s="83"/>
      <c r="O15" s="83"/>
      <c r="P15" s="83"/>
    </row>
    <row r="16" spans="1:16" ht="16.5" thickBot="1">
      <c r="A16" s="413"/>
      <c r="B16" s="83"/>
      <c r="C16" s="83"/>
      <c r="D16" s="142"/>
      <c r="E16" s="414" t="s">
        <v>209</v>
      </c>
      <c r="F16" s="415"/>
      <c r="G16" s="415"/>
      <c r="H16" s="415"/>
      <c r="I16" s="415"/>
      <c r="J16" s="415"/>
      <c r="K16" s="415"/>
      <c r="L16" s="417"/>
      <c r="M16" s="83"/>
      <c r="N16" s="83"/>
      <c r="O16" s="83"/>
      <c r="P16" s="83"/>
    </row>
    <row r="17" spans="2:16" ht="13.5" thickBot="1">
      <c r="B17" s="92" t="s">
        <v>111</v>
      </c>
      <c r="C17" s="94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330" t="s">
        <v>117</v>
      </c>
      <c r="I17" s="75"/>
      <c r="J17" s="92" t="s">
        <v>111</v>
      </c>
      <c r="K17" s="93" t="s">
        <v>118</v>
      </c>
      <c r="L17" s="93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30.75" customHeight="1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925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926</v>
      </c>
    </row>
    <row r="19" spans="2:16" ht="59.25" customHeight="1" thickBot="1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947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948</v>
      </c>
    </row>
    <row r="20" spans="1:16" ht="12.75">
      <c r="A20" s="412">
        <v>2</v>
      </c>
      <c r="B20" s="83"/>
      <c r="C20" s="83"/>
      <c r="D20" s="141"/>
      <c r="E20" s="418" t="s">
        <v>219</v>
      </c>
      <c r="F20" s="419"/>
      <c r="G20" s="419" t="s">
        <v>220</v>
      </c>
      <c r="H20" s="419"/>
      <c r="I20" s="88" t="s">
        <v>217</v>
      </c>
      <c r="J20" s="419" t="s">
        <v>216</v>
      </c>
      <c r="K20" s="419"/>
      <c r="L20" s="89" t="s">
        <v>443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3.5" thickBot="1">
      <c r="B22" s="92" t="s">
        <v>111</v>
      </c>
      <c r="C22" s="94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3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ht="225.75" customHeight="1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945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946</v>
      </c>
    </row>
    <row r="24" spans="2:16" ht="167.25" customHeight="1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883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884</v>
      </c>
    </row>
    <row r="25" spans="2:16" ht="149.25" customHeight="1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864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865</v>
      </c>
    </row>
    <row r="26" spans="2:16" ht="261" customHeight="1" thickBot="1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911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912</v>
      </c>
    </row>
    <row r="27" spans="1:16" ht="12.75">
      <c r="A27" s="412">
        <v>3</v>
      </c>
      <c r="B27" s="83"/>
      <c r="C27" s="83"/>
      <c r="D27" s="141"/>
      <c r="E27" s="418" t="s">
        <v>221</v>
      </c>
      <c r="F27" s="419"/>
      <c r="G27" s="419" t="s">
        <v>222</v>
      </c>
      <c r="H27" s="419"/>
      <c r="I27" s="88" t="s">
        <v>217</v>
      </c>
      <c r="J27" s="419" t="s">
        <v>216</v>
      </c>
      <c r="K27" s="419"/>
      <c r="L27" s="89" t="s">
        <v>444</v>
      </c>
      <c r="M27" s="83"/>
      <c r="N27" s="83"/>
      <c r="O27" s="83"/>
      <c r="P27" s="83"/>
    </row>
    <row r="28" spans="1:16" ht="16.5" thickBot="1">
      <c r="A28" s="413"/>
      <c r="B28" s="83"/>
      <c r="C28" s="83"/>
      <c r="D28" s="142"/>
      <c r="E28" s="414" t="s">
        <v>144</v>
      </c>
      <c r="F28" s="415"/>
      <c r="G28" s="415"/>
      <c r="H28" s="415"/>
      <c r="I28" s="415"/>
      <c r="J28" s="415"/>
      <c r="K28" s="415"/>
      <c r="L28" s="417"/>
      <c r="M28" s="83"/>
      <c r="N28" s="83"/>
      <c r="O28" s="83"/>
      <c r="P28" s="83"/>
    </row>
    <row r="29" spans="2:16" ht="13.5" thickBot="1">
      <c r="B29" s="92" t="s">
        <v>111</v>
      </c>
      <c r="C29" s="94" t="s">
        <v>112</v>
      </c>
      <c r="D29" s="94" t="s">
        <v>113</v>
      </c>
      <c r="E29" s="95" t="s">
        <v>114</v>
      </c>
      <c r="F29" s="95" t="s">
        <v>115</v>
      </c>
      <c r="G29" s="95" t="s">
        <v>116</v>
      </c>
      <c r="H29" s="96" t="s">
        <v>117</v>
      </c>
      <c r="I29" s="75"/>
      <c r="J29" s="92" t="s">
        <v>111</v>
      </c>
      <c r="K29" s="93" t="s">
        <v>118</v>
      </c>
      <c r="L29" s="93" t="s">
        <v>113</v>
      </c>
      <c r="M29" s="95" t="s">
        <v>114</v>
      </c>
      <c r="N29" s="95" t="s">
        <v>115</v>
      </c>
      <c r="O29" s="95" t="s">
        <v>116</v>
      </c>
      <c r="P29" s="96" t="s">
        <v>117</v>
      </c>
    </row>
    <row r="30" spans="2:16" ht="140.25" customHeight="1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923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924</v>
      </c>
    </row>
    <row r="31" spans="2:16" ht="51" customHeight="1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906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907</v>
      </c>
    </row>
    <row r="32" spans="2:16" ht="63.75">
      <c r="B32" s="163">
        <v>3</v>
      </c>
      <c r="C32" s="168">
        <f aca="true" t="shared" si="0" ref="C32:C37">SUM(C31+14)</f>
        <v>14543</v>
      </c>
      <c r="D32" s="17" t="s">
        <v>7</v>
      </c>
      <c r="E32" s="9"/>
      <c r="F32" s="9"/>
      <c r="G32" s="9"/>
      <c r="H32" s="39" t="s">
        <v>877</v>
      </c>
      <c r="I32" s="6"/>
      <c r="J32" s="168">
        <v>3</v>
      </c>
      <c r="K32" s="168">
        <f aca="true" t="shared" si="1" ref="K32:K37">SUM(K31+14)</f>
        <v>15271</v>
      </c>
      <c r="L32" s="17" t="s">
        <v>7</v>
      </c>
      <c r="M32" s="9"/>
      <c r="N32" s="9"/>
      <c r="O32" s="9"/>
      <c r="P32" s="170" t="s">
        <v>878</v>
      </c>
    </row>
    <row r="33" spans="2:16" ht="25.5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779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780</v>
      </c>
    </row>
    <row r="34" spans="2:16" ht="75" customHeight="1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806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807</v>
      </c>
    </row>
    <row r="35" spans="2:16" ht="72" customHeight="1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662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663</v>
      </c>
    </row>
    <row r="36" spans="2:16" ht="77.25" customHeight="1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748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749</v>
      </c>
    </row>
    <row r="37" spans="2:16" ht="128.25" customHeight="1" thickBot="1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692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693</v>
      </c>
    </row>
    <row r="38" spans="1:16" ht="12.75">
      <c r="A38" s="412">
        <v>4</v>
      </c>
      <c r="B38" s="83"/>
      <c r="C38" s="83"/>
      <c r="D38" s="141"/>
      <c r="E38" s="418" t="s">
        <v>223</v>
      </c>
      <c r="F38" s="419"/>
      <c r="G38" s="419" t="s">
        <v>224</v>
      </c>
      <c r="H38" s="419"/>
      <c r="I38" s="88" t="s">
        <v>217</v>
      </c>
      <c r="J38" s="419" t="s">
        <v>216</v>
      </c>
      <c r="K38" s="419"/>
      <c r="L38" s="89" t="s">
        <v>445</v>
      </c>
      <c r="M38" s="83"/>
      <c r="N38" s="83"/>
      <c r="O38" s="83"/>
      <c r="P38" s="83"/>
    </row>
    <row r="39" spans="1:16" ht="16.5" thickBot="1">
      <c r="A39" s="413"/>
      <c r="B39" s="83"/>
      <c r="C39" s="83"/>
      <c r="D39" s="142"/>
      <c r="E39" s="414" t="s">
        <v>147</v>
      </c>
      <c r="F39" s="415"/>
      <c r="G39" s="415"/>
      <c r="H39" s="415"/>
      <c r="I39" s="415"/>
      <c r="J39" s="415"/>
      <c r="K39" s="415"/>
      <c r="L39" s="417"/>
      <c r="M39" s="83"/>
      <c r="N39" s="83"/>
      <c r="O39" s="83"/>
      <c r="P39" s="83"/>
    </row>
    <row r="40" spans="2:16" ht="13.5" thickBot="1">
      <c r="B40" s="92" t="s">
        <v>111</v>
      </c>
      <c r="C40" s="94" t="s">
        <v>112</v>
      </c>
      <c r="D40" s="94" t="s">
        <v>113</v>
      </c>
      <c r="E40" s="95" t="s">
        <v>114</v>
      </c>
      <c r="F40" s="95" t="s">
        <v>115</v>
      </c>
      <c r="G40" s="95" t="s">
        <v>116</v>
      </c>
      <c r="H40" s="96" t="s">
        <v>117</v>
      </c>
      <c r="I40" s="75"/>
      <c r="J40" s="92" t="s">
        <v>111</v>
      </c>
      <c r="K40" s="93" t="s">
        <v>118</v>
      </c>
      <c r="L40" s="93" t="s">
        <v>113</v>
      </c>
      <c r="M40" s="95" t="s">
        <v>114</v>
      </c>
      <c r="N40" s="95" t="s">
        <v>115</v>
      </c>
      <c r="O40" s="95" t="s">
        <v>116</v>
      </c>
      <c r="P40" s="96" t="s">
        <v>117</v>
      </c>
    </row>
    <row r="41" spans="2:16" s="23" customFormat="1" ht="250.5" customHeight="1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595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596</v>
      </c>
    </row>
    <row r="42" spans="2:16" s="23" customFormat="1" ht="38.25">
      <c r="B42" s="163">
        <v>2</v>
      </c>
      <c r="C42" s="168">
        <f aca="true" t="shared" si="2" ref="C42:C55">SUM(14924-426.5+B42*7)</f>
        <v>14511.5</v>
      </c>
      <c r="D42" s="20" t="s">
        <v>7</v>
      </c>
      <c r="E42" s="25"/>
      <c r="F42" s="25"/>
      <c r="G42" s="25"/>
      <c r="H42" s="24" t="s">
        <v>514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496</v>
      </c>
    </row>
    <row r="43" spans="2:16" s="23" customFormat="1" ht="90" customHeight="1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714</v>
      </c>
      <c r="I43" s="133"/>
      <c r="J43" s="168">
        <v>3</v>
      </c>
      <c r="K43" s="168">
        <f aca="true" t="shared" si="3" ref="K43:K56">SUM(14924+301.5+J43*7)</f>
        <v>15246.5</v>
      </c>
      <c r="L43" s="17" t="s">
        <v>7</v>
      </c>
      <c r="M43" s="22"/>
      <c r="N43" s="22"/>
      <c r="O43" s="22"/>
      <c r="P43" s="134" t="s">
        <v>715</v>
      </c>
    </row>
    <row r="44" spans="2:16" s="23" customFormat="1" ht="38.25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627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628</v>
      </c>
    </row>
    <row r="45" spans="2:16" s="23" customFormat="1" ht="77.25" customHeight="1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629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630</v>
      </c>
    </row>
    <row r="46" spans="2:16" s="23" customFormat="1" ht="63" customHeight="1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908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909</v>
      </c>
    </row>
    <row r="47" spans="2:16" s="23" customFormat="1" ht="76.5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875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876</v>
      </c>
    </row>
    <row r="48" spans="2:16" ht="17.25" customHeight="1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306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2:16" s="23" customFormat="1" ht="72" customHeight="1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364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365</v>
      </c>
    </row>
    <row r="50" spans="2:16" s="23" customFormat="1" ht="56.25" customHeight="1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536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537</v>
      </c>
    </row>
    <row r="51" spans="2:16" ht="12.75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2:16" ht="51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654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654</v>
      </c>
    </row>
    <row r="53" spans="2:16" ht="12.75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2:16" ht="51">
      <c r="B54" s="163">
        <v>14</v>
      </c>
      <c r="C54" s="168">
        <f>SUM(14924-426.5+B54*7)</f>
        <v>14595.5</v>
      </c>
      <c r="D54" s="17" t="s">
        <v>7</v>
      </c>
      <c r="E54" s="9"/>
      <c r="F54" s="9"/>
      <c r="G54" s="9"/>
      <c r="H54" s="21" t="s">
        <v>746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747</v>
      </c>
    </row>
    <row r="55" spans="2:16" ht="12.75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2:16" ht="46.5" customHeight="1" thickBot="1">
      <c r="B56" s="165">
        <v>16</v>
      </c>
      <c r="C56" s="169">
        <f>SUM(14924-426.5+B56*7)</f>
        <v>14609.5</v>
      </c>
      <c r="D56" s="173" t="s">
        <v>7</v>
      </c>
      <c r="E56" s="174"/>
      <c r="F56" s="174"/>
      <c r="G56" s="174"/>
      <c r="H56" s="137" t="s">
        <v>639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640</v>
      </c>
    </row>
    <row r="57" spans="1:16" ht="12.75">
      <c r="A57" s="412">
        <v>5</v>
      </c>
      <c r="B57" s="83"/>
      <c r="C57" s="83"/>
      <c r="D57" s="141"/>
      <c r="E57" s="418" t="s">
        <v>225</v>
      </c>
      <c r="F57" s="419"/>
      <c r="G57" s="419" t="s">
        <v>226</v>
      </c>
      <c r="H57" s="419"/>
      <c r="I57" s="88" t="s">
        <v>217</v>
      </c>
      <c r="J57" s="419" t="s">
        <v>216</v>
      </c>
      <c r="K57" s="419"/>
      <c r="L57" s="89" t="s">
        <v>446</v>
      </c>
      <c r="M57" s="83"/>
      <c r="N57" s="83"/>
      <c r="O57" s="83"/>
      <c r="P57" s="83"/>
    </row>
    <row r="58" spans="1:16" ht="16.5" thickBot="1">
      <c r="A58" s="413"/>
      <c r="B58" s="83"/>
      <c r="C58" s="83"/>
      <c r="D58" s="142"/>
      <c r="E58" s="414" t="s">
        <v>150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2:16" ht="13.5" thickBot="1">
      <c r="B59" s="92" t="s">
        <v>111</v>
      </c>
      <c r="C59" s="94" t="s">
        <v>112</v>
      </c>
      <c r="D59" s="94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447</v>
      </c>
      <c r="K59" s="93" t="s">
        <v>118</v>
      </c>
      <c r="L59" s="93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2:16" ht="12.75">
      <c r="B61" s="227">
        <v>2</v>
      </c>
      <c r="C61" s="168">
        <f aca="true" t="shared" si="4" ref="C61:C91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aca="true" t="shared" si="5" ref="K61:K91">14924+303.25+J61*3.5</f>
        <v>15234.25</v>
      </c>
      <c r="L61" s="13"/>
      <c r="M61" s="4"/>
      <c r="N61" s="4"/>
      <c r="O61" s="4"/>
      <c r="P61" s="113"/>
    </row>
    <row r="62" spans="2:16" ht="12.75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2:16" ht="12.75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2:16" ht="12.75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ht="12.75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ht="12.75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ht="12.75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ht="12.75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ht="12.75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ht="12.75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ht="12.75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ht="12.75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ht="12.75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ht="12.75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ht="12.75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ht="12.75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ht="12.75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ht="12.75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ht="12.75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ht="12.75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345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346</v>
      </c>
    </row>
    <row r="81" spans="2:16" ht="12.75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348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349</v>
      </c>
    </row>
    <row r="82" spans="2:16" ht="12.75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2:16" ht="12.75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2:16" ht="12.75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2:16" ht="12.75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2:16" ht="12.75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2:16" ht="12.75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2:16" ht="12.75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2:16" ht="12.75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2:16" ht="12.75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2:16" ht="13.5" thickBot="1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ht="12.75">
      <c r="A92" s="412">
        <v>6</v>
      </c>
      <c r="B92" s="83"/>
      <c r="C92" s="83"/>
      <c r="D92" s="141"/>
      <c r="E92" s="432" t="s">
        <v>227</v>
      </c>
      <c r="F92" s="433"/>
      <c r="G92" s="433" t="s">
        <v>228</v>
      </c>
      <c r="H92" s="433"/>
      <c r="I92" s="106" t="s">
        <v>217</v>
      </c>
      <c r="J92" s="433" t="s">
        <v>216</v>
      </c>
      <c r="K92" s="433"/>
      <c r="L92" s="107" t="s">
        <v>448</v>
      </c>
      <c r="M92" s="83"/>
      <c r="N92" s="83"/>
      <c r="O92" s="83"/>
      <c r="P92" s="83"/>
    </row>
    <row r="93" spans="1:16" ht="16.5" thickBot="1">
      <c r="A93" s="413"/>
      <c r="B93" s="83"/>
      <c r="C93" s="83"/>
      <c r="D93" s="142"/>
      <c r="E93" s="414" t="s">
        <v>153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3" t="s">
        <v>118</v>
      </c>
      <c r="L94" s="93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6" ref="C96:C158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aca="true" t="shared" si="7" ref="K96:K158">SUM(14924+304.125+J96*1.75)</f>
        <v>15231.625</v>
      </c>
      <c r="L96" s="13"/>
      <c r="M96" s="4"/>
      <c r="N96" s="4"/>
      <c r="O96" s="4"/>
      <c r="P96" s="113"/>
    </row>
    <row r="97" spans="2:16" ht="12.75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ht="12.75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ht="12.75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ht="12.75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ht="12.75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ht="12.75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ht="12.75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ht="12.75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ht="12.75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ht="12.75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ht="12.75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ht="12.75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ht="12.75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ht="12.75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ht="12.75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ht="12.75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ht="12.75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ht="12.75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ht="12.75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ht="12.75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ht="12.75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ht="12.75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ht="12.75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ht="12.75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ht="12.75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ht="12.75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ht="12.75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ht="12.75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ht="12.75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ht="12.75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ht="12.75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ht="12.75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ht="12.75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ht="12.75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ht="12.75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ht="12.75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ht="12.75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ht="12.75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ht="12.75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ht="12.75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ht="12.75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ht="12.75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ht="12.75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ht="12.75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ht="12.75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ht="12.75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ht="12.75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ht="12.75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ht="12.75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ht="12.75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ht="12.75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ht="12.75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ht="12.75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ht="12.75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ht="12.75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ht="12.75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ht="12.75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ht="12.75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ht="12.75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ht="12.75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ht="12.75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1165"/>
  <sheetViews>
    <sheetView zoomScale="87" zoomScaleNormal="87" workbookViewId="0" topLeftCell="A41">
      <selection activeCell="S41" sqref="S41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2.00390625" style="0" customWidth="1"/>
    <col min="7" max="7" width="11.00390625" style="0" customWidth="1"/>
    <col min="8" max="8" width="50.28125" style="0" customWidth="1"/>
    <col min="9" max="9" width="12.00390625" style="0" customWidth="1"/>
    <col min="10" max="10" width="10.57421875" style="0" customWidth="1"/>
    <col min="11" max="11" width="19.421875" style="0" customWidth="1"/>
    <col min="12" max="12" width="12.7109375" style="19" customWidth="1"/>
    <col min="15" max="15" width="11.7109375" style="0" customWidth="1"/>
    <col min="16" max="16" width="50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230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229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232</v>
      </c>
      <c r="F13" s="419"/>
      <c r="G13" s="419" t="s">
        <v>234</v>
      </c>
      <c r="H13" s="419"/>
      <c r="I13" s="88" t="s">
        <v>217</v>
      </c>
      <c r="J13" s="419" t="s">
        <v>233</v>
      </c>
      <c r="K13" s="419"/>
      <c r="L13" s="89" t="s">
        <v>449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231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s="23" customFormat="1" ht="142.5" customHeight="1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295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296</v>
      </c>
    </row>
    <row r="17" spans="2:16" ht="12.75">
      <c r="B17" s="227">
        <f>SUM(B16+1)</f>
        <v>2</v>
      </c>
      <c r="C17" s="230">
        <f aca="true" t="shared" si="0" ref="C17:C23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aca="true" t="shared" si="1" ref="K17:K23">SUM(18700+10+J17*110)</f>
        <v>18930</v>
      </c>
      <c r="L17" s="17"/>
      <c r="M17" s="9"/>
      <c r="N17" s="9"/>
      <c r="O17" s="9"/>
      <c r="P17" s="113"/>
    </row>
    <row r="18" spans="2:16" ht="12.75">
      <c r="B18" s="227">
        <f aca="true" t="shared" si="2" ref="B18:B23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aca="true" t="shared" si="3" ref="J18:J2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2:16" ht="12.75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2:16" ht="12.75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2:16" ht="12.75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2:16" ht="38.25">
      <c r="B22" s="163">
        <f t="shared" si="2"/>
        <v>7</v>
      </c>
      <c r="C22" s="168">
        <f t="shared" si="0"/>
        <v>18470</v>
      </c>
      <c r="D22" s="66" t="s">
        <v>7</v>
      </c>
      <c r="E22" s="9"/>
      <c r="F22" s="9"/>
      <c r="G22" s="9"/>
      <c r="H22" s="29" t="s">
        <v>869</v>
      </c>
      <c r="I22" s="6"/>
      <c r="J22" s="168">
        <f t="shared" si="3"/>
        <v>7</v>
      </c>
      <c r="K22" s="168">
        <f t="shared" si="1"/>
        <v>19480</v>
      </c>
      <c r="L22" s="66" t="s">
        <v>7</v>
      </c>
      <c r="M22" s="9"/>
      <c r="N22" s="9"/>
      <c r="O22" s="9"/>
      <c r="P22" s="243" t="s">
        <v>869</v>
      </c>
    </row>
    <row r="23" spans="2:16" ht="26.25" thickBot="1">
      <c r="B23" s="165">
        <f t="shared" si="2"/>
        <v>8</v>
      </c>
      <c r="C23" s="169">
        <f t="shared" si="0"/>
        <v>18580</v>
      </c>
      <c r="D23" s="173" t="s">
        <v>7</v>
      </c>
      <c r="E23" s="174"/>
      <c r="F23" s="174"/>
      <c r="G23" s="174"/>
      <c r="H23" s="251" t="s">
        <v>879</v>
      </c>
      <c r="I23" s="81"/>
      <c r="J23" s="169">
        <f t="shared" si="3"/>
        <v>8</v>
      </c>
      <c r="K23" s="169">
        <f t="shared" si="1"/>
        <v>19590</v>
      </c>
      <c r="L23" s="173" t="s">
        <v>7</v>
      </c>
      <c r="M23" s="174"/>
      <c r="N23" s="174"/>
      <c r="O23" s="174"/>
      <c r="P23" s="252" t="s">
        <v>880</v>
      </c>
    </row>
    <row r="24" spans="2:16" ht="18.75" thickBot="1">
      <c r="B24" s="441" t="s">
        <v>450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</row>
    <row r="25" spans="1:16" ht="12.75">
      <c r="A25" s="412">
        <v>2</v>
      </c>
      <c r="B25" s="83"/>
      <c r="C25" s="83"/>
      <c r="D25" s="141"/>
      <c r="E25" s="418" t="s">
        <v>0</v>
      </c>
      <c r="F25" s="419"/>
      <c r="G25" s="419" t="s">
        <v>1</v>
      </c>
      <c r="H25" s="419"/>
      <c r="I25" s="88" t="s">
        <v>217</v>
      </c>
      <c r="J25" s="419" t="s">
        <v>233</v>
      </c>
      <c r="K25" s="419"/>
      <c r="L25" s="89" t="s">
        <v>451</v>
      </c>
      <c r="M25" s="83"/>
      <c r="N25" s="83"/>
      <c r="O25" s="83"/>
      <c r="P25" s="83"/>
    </row>
    <row r="26" spans="1:16" ht="16.5" thickBot="1">
      <c r="A26" s="413"/>
      <c r="B26" s="83"/>
      <c r="C26" s="83"/>
      <c r="D26" s="142"/>
      <c r="E26" s="414" t="s">
        <v>235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s="23" customFormat="1" ht="77.25" customHeight="1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297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298</v>
      </c>
    </row>
    <row r="29" spans="2:16" ht="12.75">
      <c r="B29" s="227">
        <f>SUM(B28+1)</f>
        <v>2</v>
      </c>
      <c r="C29" s="230">
        <f aca="true" t="shared" si="4" ref="C29:C4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aca="true" t="shared" si="5" ref="K29:K44">SUM(18700+10+J29*55)</f>
        <v>18820</v>
      </c>
      <c r="L29" s="17"/>
      <c r="M29" s="9"/>
      <c r="N29" s="9"/>
      <c r="O29" s="9"/>
      <c r="P29" s="113"/>
    </row>
    <row r="30" spans="2:16" ht="29.25" customHeight="1">
      <c r="B30" s="290">
        <f aca="true" t="shared" si="6" ref="B30:B44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579</v>
      </c>
      <c r="I30" s="6"/>
      <c r="J30" s="259">
        <f aca="true" t="shared" si="7" ref="J30:J44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579</v>
      </c>
    </row>
    <row r="31" spans="2:16" ht="69.75" customHeight="1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893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893</v>
      </c>
    </row>
    <row r="32" spans="2:16" ht="118.5" customHeight="1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823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823</v>
      </c>
    </row>
    <row r="33" spans="2:16" s="23" customFormat="1" ht="134.25" customHeight="1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813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813</v>
      </c>
    </row>
    <row r="34" spans="2:16" s="23" customFormat="1" ht="132" customHeight="1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881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882</v>
      </c>
    </row>
    <row r="35" spans="2:16" s="23" customFormat="1" ht="165" customHeight="1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936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937</v>
      </c>
    </row>
    <row r="36" spans="2:16" ht="134.25" customHeight="1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894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895</v>
      </c>
    </row>
    <row r="37" spans="2:16" ht="12.75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2:16" ht="12.75">
      <c r="B38" s="227">
        <f t="shared" si="6"/>
        <v>11</v>
      </c>
      <c r="C38" s="230">
        <f t="shared" si="4"/>
        <v>18305</v>
      </c>
      <c r="D38" s="17" t="s">
        <v>7</v>
      </c>
      <c r="E38" s="9"/>
      <c r="F38" s="9"/>
      <c r="G38" s="9"/>
      <c r="H38" s="50" t="s">
        <v>867</v>
      </c>
      <c r="I38" s="6"/>
      <c r="J38" s="230">
        <f t="shared" si="7"/>
        <v>11</v>
      </c>
      <c r="K38" s="230">
        <f t="shared" si="5"/>
        <v>19315</v>
      </c>
      <c r="L38" s="17" t="s">
        <v>7</v>
      </c>
      <c r="M38" s="9"/>
      <c r="N38" s="9"/>
      <c r="O38" s="9"/>
      <c r="P38" s="114" t="s">
        <v>867</v>
      </c>
    </row>
    <row r="39" spans="2:16" ht="12.75">
      <c r="B39" s="227">
        <f t="shared" si="6"/>
        <v>12</v>
      </c>
      <c r="C39" s="230">
        <f t="shared" si="4"/>
        <v>18360</v>
      </c>
      <c r="D39" s="17" t="s">
        <v>7</v>
      </c>
      <c r="E39" s="9"/>
      <c r="F39" s="9"/>
      <c r="G39" s="9"/>
      <c r="H39" s="50" t="s">
        <v>922</v>
      </c>
      <c r="I39" s="6"/>
      <c r="J39" s="230">
        <f t="shared" si="7"/>
        <v>12</v>
      </c>
      <c r="K39" s="230">
        <f t="shared" si="5"/>
        <v>19370</v>
      </c>
      <c r="L39" s="17" t="s">
        <v>7</v>
      </c>
      <c r="M39" s="9"/>
      <c r="N39" s="9"/>
      <c r="O39" s="9"/>
      <c r="P39" s="114" t="s">
        <v>922</v>
      </c>
    </row>
    <row r="40" spans="2:16" ht="12.75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2:16" s="23" customFormat="1" ht="115.5" customHeight="1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938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939</v>
      </c>
    </row>
    <row r="42" spans="2:16" s="23" customFormat="1" ht="46.5" customHeight="1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934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935</v>
      </c>
    </row>
    <row r="43" spans="2:16" ht="51">
      <c r="B43" s="163">
        <f t="shared" si="6"/>
        <v>16</v>
      </c>
      <c r="C43" s="168">
        <f>SUM(18700-1000+B43*55)</f>
        <v>18580</v>
      </c>
      <c r="D43" s="17" t="s">
        <v>7</v>
      </c>
      <c r="E43" s="9"/>
      <c r="F43" s="9"/>
      <c r="G43" s="9"/>
      <c r="H43" s="29" t="s">
        <v>868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868</v>
      </c>
    </row>
    <row r="44" spans="2:16" ht="13.5" thickBot="1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ht="12.75">
      <c r="A45" s="412">
        <v>3</v>
      </c>
      <c r="B45" s="83"/>
      <c r="C45" s="83"/>
      <c r="D45" s="141"/>
      <c r="E45" s="418" t="s">
        <v>3</v>
      </c>
      <c r="F45" s="419"/>
      <c r="G45" s="419" t="s">
        <v>4</v>
      </c>
      <c r="H45" s="419"/>
      <c r="I45" s="88" t="s">
        <v>217</v>
      </c>
      <c r="J45" s="419" t="s">
        <v>233</v>
      </c>
      <c r="K45" s="419"/>
      <c r="L45" s="89" t="s">
        <v>452</v>
      </c>
      <c r="M45" s="83"/>
      <c r="N45" s="83"/>
      <c r="O45" s="83"/>
      <c r="P45" s="83"/>
    </row>
    <row r="46" spans="1:16" ht="16.5" thickBot="1">
      <c r="A46" s="413"/>
      <c r="B46" s="83"/>
      <c r="C46" s="83"/>
      <c r="D46" s="142"/>
      <c r="E46" s="414" t="s">
        <v>2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2:16" ht="13.5" thickBot="1">
      <c r="B47" s="92" t="s">
        <v>111</v>
      </c>
      <c r="C47" s="93" t="s">
        <v>112</v>
      </c>
      <c r="D47" s="94" t="s">
        <v>113</v>
      </c>
      <c r="E47" s="95" t="s">
        <v>114</v>
      </c>
      <c r="F47" s="95" t="s">
        <v>115</v>
      </c>
      <c r="G47" s="95" t="s">
        <v>116</v>
      </c>
      <c r="H47" s="96" t="s">
        <v>117</v>
      </c>
      <c r="I47" s="75"/>
      <c r="J47" s="92" t="s">
        <v>111</v>
      </c>
      <c r="K47" s="93" t="s">
        <v>118</v>
      </c>
      <c r="L47" s="94" t="s">
        <v>113</v>
      </c>
      <c r="M47" s="95" t="s">
        <v>114</v>
      </c>
      <c r="N47" s="95" t="s">
        <v>115</v>
      </c>
      <c r="O47" s="95" t="s">
        <v>116</v>
      </c>
      <c r="P47" s="96" t="s">
        <v>117</v>
      </c>
    </row>
    <row r="48" spans="2:16" ht="12.75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aca="true" t="shared" si="8" ref="K49:K82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ht="12.75">
      <c r="B50" s="120">
        <f aca="true" t="shared" si="9" ref="B50:B82">SUM(B49+1)</f>
        <v>3</v>
      </c>
      <c r="C50" s="275">
        <f aca="true" t="shared" si="10" ref="C50:C82">SUM(18700-1000+B50*27.5)</f>
        <v>17782.5</v>
      </c>
      <c r="D50" s="20"/>
      <c r="E50" s="15"/>
      <c r="F50" s="15"/>
      <c r="G50" s="15"/>
      <c r="H50" s="15"/>
      <c r="I50" s="6"/>
      <c r="J50" s="125">
        <f aca="true" t="shared" si="11" ref="J50:J82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538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539</v>
      </c>
    </row>
    <row r="52" spans="2:16" ht="12.75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580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580</v>
      </c>
    </row>
    <row r="54" spans="2:16" ht="25.5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292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291</v>
      </c>
    </row>
    <row r="55" spans="2:16" ht="12.75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ht="12.75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479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388</v>
      </c>
    </row>
    <row r="57" spans="2:16" ht="110.25" customHeight="1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686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687</v>
      </c>
    </row>
    <row r="58" spans="2:16" ht="156.75" customHeight="1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861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862</v>
      </c>
    </row>
    <row r="59" spans="2:16" ht="69.75" customHeight="1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682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683</v>
      </c>
    </row>
    <row r="60" spans="2:16" s="23" customFormat="1" ht="95.25" customHeight="1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669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670</v>
      </c>
    </row>
    <row r="61" spans="2:16" ht="65.25" customHeight="1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688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688</v>
      </c>
    </row>
    <row r="62" spans="2:16" s="23" customFormat="1" ht="38.25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700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701</v>
      </c>
    </row>
    <row r="63" spans="2:16" ht="89.25" customHeight="1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836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837</v>
      </c>
    </row>
    <row r="64" spans="2:16" ht="55.5" customHeight="1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721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721</v>
      </c>
    </row>
    <row r="65" spans="2:16" s="23" customFormat="1" ht="69.75" customHeight="1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886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887</v>
      </c>
    </row>
    <row r="66" spans="2:16" s="23" customFormat="1" ht="25.5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293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294</v>
      </c>
    </row>
    <row r="67" spans="2:16" ht="53.25" customHeight="1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933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933</v>
      </c>
    </row>
    <row r="68" spans="2:16" ht="25.5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586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586</v>
      </c>
    </row>
    <row r="69" spans="2:16" ht="76.5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802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803</v>
      </c>
    </row>
    <row r="70" spans="2:16" ht="33" customHeight="1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866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866</v>
      </c>
    </row>
    <row r="71" spans="2:16" ht="210.75" customHeight="1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920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921</v>
      </c>
    </row>
    <row r="72" spans="2:16" ht="25.5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593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593</v>
      </c>
    </row>
    <row r="73" spans="2:16" s="23" customFormat="1" ht="136.5" customHeight="1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616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617</v>
      </c>
    </row>
    <row r="74" spans="2:16" ht="12.75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704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704</v>
      </c>
    </row>
    <row r="75" spans="2:16" s="73" customFormat="1" ht="51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888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888</v>
      </c>
    </row>
    <row r="76" spans="2:16" ht="12.75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591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591</v>
      </c>
    </row>
    <row r="78" spans="2:16" ht="12.75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ht="12.75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ht="12.75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2:16" ht="12.75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2:16" ht="13.5" thickBot="1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ht="12.75">
      <c r="A83" s="412">
        <v>4</v>
      </c>
      <c r="B83" s="83"/>
      <c r="C83" s="83"/>
      <c r="D83" s="141"/>
      <c r="E83" s="418" t="s">
        <v>5</v>
      </c>
      <c r="F83" s="419"/>
      <c r="G83" s="419" t="s">
        <v>6</v>
      </c>
      <c r="H83" s="419"/>
      <c r="I83" s="88" t="s">
        <v>217</v>
      </c>
      <c r="J83" s="419" t="s">
        <v>233</v>
      </c>
      <c r="K83" s="419"/>
      <c r="L83" s="89" t="s">
        <v>454</v>
      </c>
      <c r="M83" s="83"/>
      <c r="N83" s="83"/>
      <c r="O83" s="83"/>
      <c r="P83" s="83"/>
    </row>
    <row r="84" spans="1:16" ht="16.5" thickBot="1">
      <c r="A84" s="413"/>
      <c r="B84" s="83"/>
      <c r="C84" s="83"/>
      <c r="D84" s="142"/>
      <c r="E84" s="414" t="s">
        <v>453</v>
      </c>
      <c r="F84" s="415"/>
      <c r="G84" s="415"/>
      <c r="H84" s="415"/>
      <c r="I84" s="415"/>
      <c r="J84" s="415"/>
      <c r="K84" s="415"/>
      <c r="L84" s="417"/>
      <c r="M84" s="83"/>
      <c r="N84" s="83"/>
      <c r="O84" s="83"/>
      <c r="P84" s="83"/>
    </row>
    <row r="85" spans="2:16" ht="13.5" thickBot="1">
      <c r="B85" s="92" t="s">
        <v>111</v>
      </c>
      <c r="C85" s="93" t="s">
        <v>112</v>
      </c>
      <c r="D85" s="94" t="s">
        <v>113</v>
      </c>
      <c r="E85" s="95" t="s">
        <v>114</v>
      </c>
      <c r="F85" s="95" t="s">
        <v>115</v>
      </c>
      <c r="G85" s="95" t="s">
        <v>116</v>
      </c>
      <c r="H85" s="96" t="s">
        <v>117</v>
      </c>
      <c r="I85" s="75"/>
      <c r="J85" s="92" t="s">
        <v>111</v>
      </c>
      <c r="K85" s="93" t="s">
        <v>118</v>
      </c>
      <c r="L85" s="94" t="s">
        <v>113</v>
      </c>
      <c r="M85" s="95" t="s">
        <v>114</v>
      </c>
      <c r="N85" s="95" t="s">
        <v>115</v>
      </c>
      <c r="O85" s="95" t="s">
        <v>116</v>
      </c>
      <c r="P85" s="96" t="s">
        <v>117</v>
      </c>
    </row>
    <row r="86" spans="2:16" ht="38.25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299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299</v>
      </c>
    </row>
    <row r="87" spans="2:16" ht="12.75">
      <c r="B87" s="120">
        <f>SUM(B86+1)</f>
        <v>2</v>
      </c>
      <c r="C87" s="275">
        <f aca="true" t="shared" si="12" ref="C87:C150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aca="true" t="shared" si="13" ref="K87:K150">SUM(18700+10+J87*13.75)</f>
        <v>18737.5</v>
      </c>
      <c r="L87" s="20"/>
      <c r="M87" s="15"/>
      <c r="N87" s="15"/>
      <c r="O87" s="15"/>
      <c r="P87" s="263"/>
    </row>
    <row r="88" spans="2:16" ht="12.75">
      <c r="B88" s="120">
        <f aca="true" t="shared" si="14" ref="B88:B151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aca="true" t="shared" si="15" ref="J88:J151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2:16" ht="12.75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2:16" ht="12.75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2:16" ht="12.75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2:16" ht="12.75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322</v>
      </c>
    </row>
    <row r="93" spans="2:16" ht="25.5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347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347</v>
      </c>
    </row>
    <row r="94" spans="2:16" ht="12.75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2:16" ht="12.75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2:16" ht="12.75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ht="12.75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ht="12.75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ht="12.75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308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309</v>
      </c>
    </row>
    <row r="100" spans="2:16" ht="12.75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ht="12.75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ht="12.75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ht="12.75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ht="12.75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236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236</v>
      </c>
    </row>
    <row r="105" spans="2:16" ht="25.5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332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333</v>
      </c>
    </row>
    <row r="106" spans="2:16" ht="21" customHeight="1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512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512</v>
      </c>
    </row>
    <row r="107" spans="2:16" ht="111" customHeight="1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829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830</v>
      </c>
    </row>
    <row r="108" spans="2:16" ht="34.5" customHeight="1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507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507</v>
      </c>
    </row>
    <row r="109" spans="2:16" ht="97.5" customHeight="1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599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600</v>
      </c>
    </row>
    <row r="110" spans="2:16" ht="34.5" customHeight="1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534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535</v>
      </c>
    </row>
    <row r="112" spans="2:16" ht="21" customHeight="1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643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644</v>
      </c>
    </row>
    <row r="114" spans="2:16" ht="12.75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660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661</v>
      </c>
    </row>
    <row r="116" spans="2:16" ht="12.75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ht="12.75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552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552</v>
      </c>
    </row>
    <row r="118" spans="2:16" ht="12.75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382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382</v>
      </c>
    </row>
    <row r="120" spans="2:16" ht="12.75">
      <c r="B120" s="253">
        <f t="shared" si="14"/>
        <v>35</v>
      </c>
      <c r="C120" s="274">
        <f t="shared" si="12"/>
        <v>18181.25</v>
      </c>
      <c r="D120" s="20"/>
      <c r="E120" s="15"/>
      <c r="F120" s="15"/>
      <c r="G120" s="15"/>
      <c r="H120" s="61"/>
      <c r="I120" s="6"/>
      <c r="J120" s="239">
        <f t="shared" si="15"/>
        <v>35</v>
      </c>
      <c r="K120" s="274">
        <f t="shared" si="13"/>
        <v>19191.25</v>
      </c>
      <c r="L120" s="20"/>
      <c r="M120" s="15"/>
      <c r="N120" s="15"/>
      <c r="O120" s="15"/>
      <c r="P120" s="279"/>
    </row>
    <row r="121" spans="2:16" ht="12.75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ht="12.75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ht="12.75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ht="12.75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ht="12.75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267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267</v>
      </c>
    </row>
    <row r="126" spans="2:16" ht="60" customHeight="1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932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932</v>
      </c>
    </row>
    <row r="127" spans="2:16" ht="12.75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500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500</v>
      </c>
    </row>
    <row r="128" spans="2:16" ht="57" customHeight="1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594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594</v>
      </c>
    </row>
    <row r="129" spans="2:16" s="73" customFormat="1" ht="48.75" customHeight="1">
      <c r="B129" s="286">
        <f t="shared" si="14"/>
        <v>44</v>
      </c>
      <c r="C129" s="287">
        <f>SUM(18700-1000+B129*13.75)</f>
        <v>18305</v>
      </c>
      <c r="D129" s="72" t="s">
        <v>7</v>
      </c>
      <c r="E129" s="37"/>
      <c r="F129" s="37"/>
      <c r="G129" s="37"/>
      <c r="H129" s="26" t="s">
        <v>618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619</v>
      </c>
    </row>
    <row r="130" spans="2:16" ht="12.75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804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805</v>
      </c>
    </row>
    <row r="131" spans="2:16" ht="12.75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614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615</v>
      </c>
    </row>
    <row r="132" spans="2:16" ht="12.75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352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352</v>
      </c>
    </row>
    <row r="133" spans="2:16" s="23" customFormat="1" ht="87" customHeight="1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811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812</v>
      </c>
    </row>
    <row r="134" spans="2:16" ht="12.75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ht="12.75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ht="12.75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ht="12.75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ht="12.75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ht="12.75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ht="12.75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388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388</v>
      </c>
    </row>
    <row r="141" spans="2:16" ht="25.5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361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361</v>
      </c>
    </row>
    <row r="142" spans="2:16" ht="12.75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ht="12.75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ht="12.75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ht="12.75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ht="12.75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ht="12.75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ht="12.75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ht="12.75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ht="12.75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ht="12.75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ht="12.75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ht="12.75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ht="12.75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  <row r="1165" ht="12.75">
      <c r="AB1165">
        <v>-4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 topLeftCell="A52">
      <selection activeCell="D40" sqref="D40"/>
    </sheetView>
  </sheetViews>
  <sheetFormatPr defaultColWidth="9.140625" defaultRowHeight="12.75"/>
  <cols>
    <col min="2" max="2" width="10.28125" style="0" customWidth="1"/>
    <col min="3" max="3" width="18.28125" style="0" customWidth="1"/>
    <col min="6" max="6" width="13.57421875" style="0" customWidth="1"/>
    <col min="7" max="7" width="12.140625" style="0" customWidth="1"/>
    <col min="8" max="8" width="26.57421875" style="0" customWidth="1"/>
    <col min="9" max="9" width="13.7109375" style="0" customWidth="1"/>
    <col min="10" max="10" width="13.00390625" style="0" customWidth="1"/>
    <col min="11" max="11" width="20.140625" style="0" customWidth="1"/>
    <col min="12" max="12" width="13.7109375" style="0" customWidth="1"/>
    <col min="16" max="16" width="36.00390625" style="0" customWidth="1"/>
  </cols>
  <sheetData>
    <row r="1" ht="12.75">
      <c r="H1" s="12"/>
    </row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25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460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19</v>
      </c>
      <c r="K13" s="419"/>
      <c r="L13" s="89" t="s">
        <v>27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8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  <c r="R15" s="6"/>
    </row>
    <row r="16" spans="2:18" ht="12.75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2:18" ht="12.75">
      <c r="B17" s="227">
        <v>2</v>
      </c>
      <c r="C17" s="230">
        <f aca="true" t="shared" si="0" ref="C17:C23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25501+J17*112</f>
        <v>25725</v>
      </c>
      <c r="L17" s="9"/>
      <c r="M17" s="9"/>
      <c r="N17" s="9"/>
      <c r="O17" s="9"/>
      <c r="P17" s="113"/>
      <c r="R17" s="6"/>
    </row>
    <row r="18" spans="2:18" ht="12.75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2:18" ht="12.75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2:18" ht="12.75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2:18" ht="12.75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2:18" ht="12.75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2:18" ht="13.5" thickBot="1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ht="12.75">
      <c r="A24" s="412">
        <v>2</v>
      </c>
      <c r="B24" s="83"/>
      <c r="C24" s="83"/>
      <c r="D24" s="141"/>
      <c r="E24" s="432" t="s">
        <v>29</v>
      </c>
      <c r="F24" s="433"/>
      <c r="G24" s="433" t="s">
        <v>31</v>
      </c>
      <c r="H24" s="433"/>
      <c r="I24" s="106" t="s">
        <v>65</v>
      </c>
      <c r="J24" s="433" t="s">
        <v>19</v>
      </c>
      <c r="K24" s="433"/>
      <c r="L24" s="107" t="s">
        <v>30</v>
      </c>
      <c r="M24" s="83"/>
      <c r="N24" s="83"/>
      <c r="O24" s="83"/>
      <c r="P24" s="83"/>
      <c r="R24" s="6"/>
    </row>
    <row r="25" spans="1:18" ht="16.5" thickBot="1">
      <c r="A25" s="413"/>
      <c r="B25" s="83"/>
      <c r="C25" s="83"/>
      <c r="D25" s="142"/>
      <c r="E25" s="414" t="s">
        <v>209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  <c r="R25" s="6"/>
    </row>
    <row r="26" spans="2:18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  <c r="R26" s="6"/>
    </row>
    <row r="27" spans="2:18" ht="12.75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2:18" ht="12.75">
      <c r="B28" s="227">
        <v>2</v>
      </c>
      <c r="C28" s="230">
        <f aca="true" t="shared" si="2" ref="C28:C4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25501+28+J28*56</f>
        <v>25641</v>
      </c>
      <c r="L28" s="9"/>
      <c r="M28" s="9"/>
      <c r="N28" s="9"/>
      <c r="O28" s="9"/>
      <c r="P28" s="113"/>
      <c r="R28" s="6"/>
    </row>
    <row r="29" spans="2:18" ht="12.75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2:18" ht="12.75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2:18" ht="12.75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2:18" ht="12.75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2:18" ht="12.75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2:18" ht="12.75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2:18" ht="12.75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2:18" ht="12.75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2:18" ht="12.75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2:18" ht="12.75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2:18" ht="12.75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2:18" ht="12.75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2:18" ht="12.75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2:18" ht="13.5" thickBot="1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ht="12.75">
      <c r="A43" s="412">
        <v>3</v>
      </c>
      <c r="B43" s="83"/>
      <c r="C43" s="83"/>
      <c r="D43" s="141"/>
      <c r="E43" s="432" t="s">
        <v>32</v>
      </c>
      <c r="F43" s="433"/>
      <c r="G43" s="433" t="s">
        <v>34</v>
      </c>
      <c r="H43" s="433"/>
      <c r="I43" s="106" t="s">
        <v>65</v>
      </c>
      <c r="J43" s="433" t="s">
        <v>19</v>
      </c>
      <c r="K43" s="433"/>
      <c r="L43" s="107" t="s">
        <v>33</v>
      </c>
      <c r="M43" s="83"/>
      <c r="N43" s="83"/>
      <c r="O43" s="83"/>
      <c r="P43" s="83"/>
      <c r="R43" s="6"/>
    </row>
    <row r="44" spans="1:18" ht="16.5" thickBot="1">
      <c r="A44" s="413"/>
      <c r="B44" s="83"/>
      <c r="C44" s="83"/>
      <c r="D44" s="142"/>
      <c r="E44" s="414" t="s">
        <v>140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  <c r="R44" s="6"/>
    </row>
    <row r="45" spans="2:18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  <c r="R45" s="6"/>
    </row>
    <row r="46" spans="2:18" ht="12.75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2:18" ht="12.75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2:18" ht="12.75">
      <c r="B48" s="227">
        <v>3</v>
      </c>
      <c r="C48" s="230">
        <f aca="true" t="shared" si="4" ref="C48:C75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aca="true" t="shared" si="5" ref="K48:K75">SUM(K47+28)</f>
        <v>25627</v>
      </c>
      <c r="L48" s="9"/>
      <c r="M48" s="9"/>
      <c r="N48" s="9"/>
      <c r="O48" s="9"/>
      <c r="P48" s="113"/>
      <c r="R48" s="6"/>
    </row>
    <row r="49" spans="2:18" ht="12.75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ht="12.75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ht="12.75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ht="12.75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ht="12.75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ht="12.75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ht="12.75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ht="12.75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ht="12.75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ht="12.75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ht="12.75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ht="12.75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ht="12.75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ht="12.75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ht="12.75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ht="12.75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2:18" ht="12.75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2:18" ht="12.75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2:18" ht="12.75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2:18" ht="12.75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2:18" ht="12.75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2:18" ht="12.75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2:18" ht="12.75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2:18" ht="12.75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2:18" ht="12.75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2:18" ht="12.75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2:18" ht="12.75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2:18" ht="12.75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2:18" ht="13.5" thickBot="1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ht="12.75">
      <c r="A78" s="412">
        <v>4</v>
      </c>
      <c r="B78" s="83"/>
      <c r="C78" s="83"/>
      <c r="D78" s="141"/>
      <c r="E78" s="432" t="s">
        <v>35</v>
      </c>
      <c r="F78" s="433"/>
      <c r="G78" s="433" t="s">
        <v>37</v>
      </c>
      <c r="H78" s="433"/>
      <c r="I78" s="106" t="s">
        <v>65</v>
      </c>
      <c r="J78" s="433" t="s">
        <v>19</v>
      </c>
      <c r="K78" s="433"/>
      <c r="L78" s="107" t="s">
        <v>36</v>
      </c>
      <c r="M78" s="83"/>
      <c r="N78" s="83"/>
      <c r="O78" s="83"/>
      <c r="P78" s="83"/>
      <c r="R78" s="6"/>
    </row>
    <row r="79" spans="1:18" ht="16.5" thickBot="1">
      <c r="A79" s="413"/>
      <c r="B79" s="83"/>
      <c r="C79" s="83"/>
      <c r="D79" s="142"/>
      <c r="E79" s="414" t="s">
        <v>144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  <c r="R79" s="6"/>
    </row>
    <row r="80" spans="2:18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  <c r="R80" s="6"/>
    </row>
    <row r="81" spans="2:18" ht="12.75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ht="12.75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ht="12.75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ht="12.75">
      <c r="B84" s="227">
        <f aca="true" t="shared" si="6" ref="B84:B144">SUM(B83+1)</f>
        <v>4</v>
      </c>
      <c r="C84" s="230">
        <f aca="true" t="shared" si="7" ref="C84:C144">SUM(C83+14)</f>
        <v>24598</v>
      </c>
      <c r="D84" s="9"/>
      <c r="E84" s="9"/>
      <c r="F84" s="9"/>
      <c r="G84" s="9"/>
      <c r="H84" s="9"/>
      <c r="I84" s="6"/>
      <c r="J84" s="230">
        <f aca="true" t="shared" si="8" ref="J84:J144">SUM(J83+1)</f>
        <v>4</v>
      </c>
      <c r="K84" s="230">
        <f aca="true" t="shared" si="9" ref="K84:K144">SUM(K83+14)</f>
        <v>25606</v>
      </c>
      <c r="L84" s="9"/>
      <c r="M84" s="9"/>
      <c r="N84" s="9"/>
      <c r="O84" s="9"/>
      <c r="P84" s="113"/>
      <c r="R84" s="6"/>
    </row>
    <row r="85" spans="2:18" ht="12.75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ht="12.75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ht="12.75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ht="12.75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ht="12.75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ht="12.75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ht="12.75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ht="12.75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ht="12.75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ht="12.75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ht="12.75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ht="12.75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ht="12.75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ht="12.75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ht="12.75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ht="12.75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ht="12.75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ht="12.75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ht="12.75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ht="12.75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ht="12.75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ht="12.75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ht="12.75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ht="12.75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ht="12.75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ht="12.75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ht="12.75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ht="12.75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ht="12.75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ht="12.75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ht="12.75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ht="12.75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ht="12.75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ht="12.75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ht="12.75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ht="12.75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ht="12.75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ht="12.75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ht="12.75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ht="12.75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ht="12.75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ht="12.75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ht="12.75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ht="12.75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ht="12.75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ht="12.75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ht="12.75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ht="12.75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ht="12.75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ht="12.75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ht="12.75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ht="12.75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ht="12.75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ht="12.75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ht="12.75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ht="12.75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ht="12.75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ht="12.75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ht="12.75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ht="12.75">
      <c r="A145" s="412">
        <v>5</v>
      </c>
      <c r="B145" s="83"/>
      <c r="C145" s="83"/>
      <c r="D145" s="141"/>
      <c r="E145" s="432" t="s">
        <v>20</v>
      </c>
      <c r="F145" s="433"/>
      <c r="G145" s="433" t="s">
        <v>22</v>
      </c>
      <c r="H145" s="433"/>
      <c r="I145" s="106" t="s">
        <v>65</v>
      </c>
      <c r="J145" s="433" t="s">
        <v>19</v>
      </c>
      <c r="K145" s="433"/>
      <c r="L145" s="107" t="s">
        <v>21</v>
      </c>
      <c r="M145" s="83"/>
      <c r="N145" s="83"/>
      <c r="O145" s="83"/>
      <c r="P145" s="83"/>
      <c r="R145" s="6"/>
    </row>
    <row r="146" spans="1:18" ht="16.5" thickBot="1">
      <c r="A146" s="413"/>
      <c r="B146" s="83"/>
      <c r="C146" s="83"/>
      <c r="D146" s="142"/>
      <c r="E146" s="414" t="s">
        <v>147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  <c r="R146" s="6"/>
    </row>
    <row r="147" spans="2:18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  <c r="R147" s="6"/>
    </row>
    <row r="148" spans="2:18" ht="78" customHeight="1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244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245</v>
      </c>
      <c r="R148" s="6"/>
    </row>
    <row r="149" spans="2:18" ht="44.25" customHeight="1">
      <c r="B149" s="163">
        <v>2</v>
      </c>
      <c r="C149" s="168">
        <f aca="true" t="shared" si="10" ref="C149:C212">25501-955.5+B149*7</f>
        <v>24559.5</v>
      </c>
      <c r="D149" s="18" t="s">
        <v>7</v>
      </c>
      <c r="E149" s="9"/>
      <c r="F149" s="9"/>
      <c r="G149" s="9"/>
      <c r="H149" s="29" t="s">
        <v>256</v>
      </c>
      <c r="I149" s="6"/>
      <c r="J149" s="168">
        <v>2</v>
      </c>
      <c r="K149" s="168">
        <f aca="true" t="shared" si="11" ref="K149:K212">25501+52.5+J149*7</f>
        <v>25567.5</v>
      </c>
      <c r="L149" s="18" t="s">
        <v>7</v>
      </c>
      <c r="M149" s="9"/>
      <c r="N149" s="9"/>
      <c r="O149" s="9"/>
      <c r="P149" s="179" t="s">
        <v>256</v>
      </c>
      <c r="R149" s="6"/>
    </row>
    <row r="150" spans="2:18" ht="66" customHeight="1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2:18" ht="52.5" customHeight="1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2:18" ht="12.75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2:18" ht="12.75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2:18" ht="12.75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2:18" ht="12.75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2:18" ht="12.75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2:18" ht="12.75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2:18" ht="12.75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2:18" ht="12.75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2:18" ht="12.75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ht="12.75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ht="12.75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ht="12.75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ht="12.75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ht="12.75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ht="12.75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ht="12.75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ht="12.75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ht="12.75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ht="12.75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ht="12.75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ht="12.75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ht="12.75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ht="12.75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ht="12.75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ht="12.75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ht="12.75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ht="12.75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ht="12.75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ht="12.75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ht="12.75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ht="12.75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ht="12.75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ht="12.75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ht="12.75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ht="12.75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ht="12.75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ht="12.75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ht="12.75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ht="12.75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ht="12.75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ht="12.75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ht="12.75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ht="12.75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ht="12.75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ht="12.75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ht="12.75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ht="12.75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ht="12.75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ht="12.75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ht="12.75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ht="12.75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ht="12.75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ht="12.75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ht="12.75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ht="12.75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ht="12.75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ht="12.75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ht="12.75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ht="12.75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ht="12.75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ht="12.75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ht="12.75">
      <c r="B213" s="227">
        <v>66</v>
      </c>
      <c r="C213" s="230">
        <f aca="true" t="shared" si="12" ref="C213:C275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aca="true" t="shared" si="13" ref="K213:K275">25501+52.5+J213*7</f>
        <v>26015.5</v>
      </c>
      <c r="L213" s="9"/>
      <c r="M213" s="9"/>
      <c r="N213" s="9"/>
      <c r="O213" s="9"/>
      <c r="P213" s="113"/>
      <c r="R213" s="6"/>
    </row>
    <row r="214" spans="2:18" ht="12.75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ht="12.75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ht="12.75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ht="12.75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ht="12.75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ht="12.75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6" ht="12.75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6" ht="12.75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6" ht="12.75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6" ht="12.75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6" ht="12.75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ht="12.75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ht="12.75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ht="12.75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ht="12.75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ht="12.75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ht="12.75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ht="12.75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ht="12.75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ht="12.75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ht="12.75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ht="12.75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ht="12.75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ht="12.75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ht="12.75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ht="12.75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ht="12.75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ht="12.75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ht="12.75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ht="12.75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ht="12.75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ht="12.75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ht="12.75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ht="12.75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ht="12.75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ht="12.75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ht="12.75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ht="12.75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ht="12.75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ht="12.75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ht="12.75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ht="12.75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ht="12.75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ht="12.75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ht="12.75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ht="12.75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ht="12.75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ht="12.75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ht="12.75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ht="12.75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ht="12.75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ht="12.75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ht="12.75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ht="12.75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ht="12.75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ht="12.75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ht="12.75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ht="12.75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ht="12.75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ht="12.75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ht="12.75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56"/>
  <sheetViews>
    <sheetView zoomScale="90" zoomScaleNormal="90" workbookViewId="0" topLeftCell="E20">
      <selection activeCell="O26" sqref="O26"/>
    </sheetView>
  </sheetViews>
  <sheetFormatPr defaultColWidth="9.140625" defaultRowHeight="12.75"/>
  <cols>
    <col min="2" max="2" width="10.7109375" style="0" customWidth="1"/>
    <col min="3" max="3" width="20.140625" style="0" customWidth="1"/>
    <col min="4" max="4" width="9.140625" style="1" customWidth="1"/>
    <col min="5" max="5" width="14.8515625" style="0" customWidth="1"/>
    <col min="6" max="6" width="11.57421875" style="0" customWidth="1"/>
    <col min="7" max="7" width="11.00390625" style="0" customWidth="1"/>
    <col min="8" max="8" width="42.57421875" style="0" customWidth="1"/>
    <col min="9" max="9" width="13.140625" style="0" customWidth="1"/>
    <col min="10" max="10" width="10.140625" style="0" customWidth="1"/>
    <col min="11" max="11" width="22.421875" style="0" customWidth="1"/>
    <col min="12" max="12" width="13.57421875" style="19" customWidth="1"/>
    <col min="13" max="13" width="6.7109375" style="0" customWidth="1"/>
    <col min="14" max="14" width="11.57421875" style="0" customWidth="1"/>
    <col min="15" max="15" width="11.00390625" style="0" bestFit="1" customWidth="1"/>
    <col min="16" max="16" width="40.5742187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457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458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64</v>
      </c>
      <c r="F13" s="419"/>
      <c r="G13" s="419" t="s">
        <v>67</v>
      </c>
      <c r="H13" s="419"/>
      <c r="I13" s="88" t="s">
        <v>65</v>
      </c>
      <c r="J13" s="419" t="s">
        <v>63</v>
      </c>
      <c r="K13" s="419"/>
      <c r="L13" s="89" t="s">
        <v>66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3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2:16" ht="12.75">
      <c r="B17" s="227">
        <v>2</v>
      </c>
      <c r="C17" s="230">
        <f>21196+770+B17*112</f>
        <v>22190</v>
      </c>
      <c r="D17" s="2" t="s">
        <v>7</v>
      </c>
      <c r="E17" s="9"/>
      <c r="F17" s="9"/>
      <c r="G17" s="9"/>
      <c r="H17" s="50" t="s">
        <v>791</v>
      </c>
      <c r="I17" s="6"/>
      <c r="J17" s="230">
        <v>2</v>
      </c>
      <c r="K17" s="230">
        <f>21196+1778+J17*112</f>
        <v>23198</v>
      </c>
      <c r="L17" s="17" t="s">
        <v>7</v>
      </c>
      <c r="M17" s="9"/>
      <c r="N17" s="9"/>
      <c r="O17" s="9"/>
      <c r="P17" s="114" t="s">
        <v>792</v>
      </c>
    </row>
    <row r="18" spans="2:16" ht="12.75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2:16" ht="12.75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2:16" ht="13.5" thickBot="1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ht="12.75">
      <c r="A21" s="412">
        <v>2</v>
      </c>
      <c r="B21" s="83"/>
      <c r="C21" s="83"/>
      <c r="D21" s="141"/>
      <c r="E21" s="418" t="s">
        <v>69</v>
      </c>
      <c r="F21" s="419"/>
      <c r="G21" s="419" t="s">
        <v>71</v>
      </c>
      <c r="H21" s="419"/>
      <c r="I21" s="88" t="s">
        <v>65</v>
      </c>
      <c r="J21" s="419" t="s">
        <v>63</v>
      </c>
      <c r="K21" s="419"/>
      <c r="L21" s="89" t="s">
        <v>459</v>
      </c>
      <c r="M21" s="83"/>
      <c r="N21" s="83"/>
      <c r="O21" s="83"/>
      <c r="P21" s="83"/>
    </row>
    <row r="22" spans="1:16" ht="16.5" thickBot="1">
      <c r="A22" s="413"/>
      <c r="B22" s="83"/>
      <c r="C22" s="83"/>
      <c r="D22" s="142"/>
      <c r="E22" s="414" t="s">
        <v>209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3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4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51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910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910</v>
      </c>
    </row>
    <row r="25" spans="2:16" ht="38.25">
      <c r="B25" s="290">
        <v>2</v>
      </c>
      <c r="C25" s="259">
        <f aca="true" t="shared" si="0" ref="C25:C32">21196+826+B25*56</f>
        <v>22134</v>
      </c>
      <c r="D25" s="65" t="s">
        <v>7</v>
      </c>
      <c r="E25" s="9"/>
      <c r="F25" s="9"/>
      <c r="G25" s="9"/>
      <c r="H25" s="60" t="s">
        <v>824</v>
      </c>
      <c r="I25" s="6"/>
      <c r="J25" s="259">
        <v>2</v>
      </c>
      <c r="K25" s="259">
        <f aca="true" t="shared" si="1" ref="K25:K32">21196+1834+J25*56</f>
        <v>23142</v>
      </c>
      <c r="L25" s="17" t="s">
        <v>7</v>
      </c>
      <c r="M25" s="9"/>
      <c r="N25" s="9"/>
      <c r="O25" s="9"/>
      <c r="P25" s="179" t="s">
        <v>824</v>
      </c>
    </row>
    <row r="26" spans="2:16" s="23" customFormat="1" ht="156.75" customHeight="1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961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962</v>
      </c>
    </row>
    <row r="27" spans="2:16" s="23" customFormat="1" ht="192.75" customHeight="1">
      <c r="B27" s="163">
        <v>4</v>
      </c>
      <c r="C27" s="168">
        <f>21196+826+B27*56</f>
        <v>22246</v>
      </c>
      <c r="D27" s="17" t="s">
        <v>7</v>
      </c>
      <c r="E27" s="22"/>
      <c r="F27" s="22"/>
      <c r="G27" s="22"/>
      <c r="H27" s="24" t="s">
        <v>930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931</v>
      </c>
    </row>
    <row r="28" spans="2:16" s="23" customFormat="1" ht="122.25" customHeight="1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848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849</v>
      </c>
    </row>
    <row r="29" spans="2:16" s="23" customFormat="1" ht="107.25" customHeight="1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589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590</v>
      </c>
    </row>
    <row r="30" spans="2:16" ht="25.5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860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860</v>
      </c>
    </row>
    <row r="31" spans="2:16" ht="44.25" customHeight="1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503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503</v>
      </c>
    </row>
    <row r="32" spans="2:16" ht="80.25" customHeight="1" thickBot="1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891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892</v>
      </c>
    </row>
    <row r="33" spans="1:16" ht="12.75">
      <c r="A33" s="412">
        <v>3</v>
      </c>
      <c r="B33" s="83"/>
      <c r="C33" s="83"/>
      <c r="D33" s="141"/>
      <c r="E33" s="418" t="s">
        <v>72</v>
      </c>
      <c r="F33" s="419"/>
      <c r="G33" s="419" t="s">
        <v>71</v>
      </c>
      <c r="H33" s="419"/>
      <c r="I33" s="88" t="s">
        <v>65</v>
      </c>
      <c r="J33" s="419" t="s">
        <v>63</v>
      </c>
      <c r="K33" s="419"/>
      <c r="L33" s="89" t="s">
        <v>70</v>
      </c>
      <c r="M33" s="83"/>
      <c r="N33" s="83"/>
      <c r="O33" s="83"/>
      <c r="P33" s="83"/>
    </row>
    <row r="34" spans="1:16" ht="16.5" thickBot="1">
      <c r="A34" s="413"/>
      <c r="B34" s="83"/>
      <c r="C34" s="83"/>
      <c r="D34" s="142"/>
      <c r="E34" s="414" t="s">
        <v>140</v>
      </c>
      <c r="F34" s="415"/>
      <c r="G34" s="415"/>
      <c r="H34" s="415"/>
      <c r="I34" s="415"/>
      <c r="J34" s="415"/>
      <c r="K34" s="415"/>
      <c r="L34" s="417"/>
      <c r="M34" s="83"/>
      <c r="N34" s="83"/>
      <c r="O34" s="83"/>
      <c r="P34" s="83"/>
    </row>
    <row r="35" spans="2:16" ht="13.5" thickBot="1">
      <c r="B35" s="92" t="s">
        <v>111</v>
      </c>
      <c r="C35" s="93" t="s">
        <v>112</v>
      </c>
      <c r="D35" s="93" t="s">
        <v>113</v>
      </c>
      <c r="E35" s="95" t="s">
        <v>114</v>
      </c>
      <c r="F35" s="95" t="s">
        <v>115</v>
      </c>
      <c r="G35" s="95" t="s">
        <v>116</v>
      </c>
      <c r="H35" s="96" t="s">
        <v>117</v>
      </c>
      <c r="I35" s="75"/>
      <c r="J35" s="92" t="s">
        <v>111</v>
      </c>
      <c r="K35" s="93" t="s">
        <v>118</v>
      </c>
      <c r="L35" s="94" t="s">
        <v>113</v>
      </c>
      <c r="M35" s="95" t="s">
        <v>114</v>
      </c>
      <c r="N35" s="95" t="s">
        <v>115</v>
      </c>
      <c r="O35" s="95" t="s">
        <v>116</v>
      </c>
      <c r="P35" s="96" t="s">
        <v>117</v>
      </c>
    </row>
    <row r="36" spans="2:16" ht="50.25" customHeight="1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785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786</v>
      </c>
    </row>
    <row r="37" spans="2:16" s="23" customFormat="1" ht="38.25" customHeight="1">
      <c r="B37" s="132">
        <v>2</v>
      </c>
      <c r="C37" s="18">
        <f aca="true" t="shared" si="2" ref="C37:C55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aca="true" t="shared" si="3" ref="K37:K55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2:16" s="23" customFormat="1" ht="25.5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386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387</v>
      </c>
    </row>
    <row r="39" spans="2:16" ht="114.75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797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798</v>
      </c>
    </row>
    <row r="40" spans="2:16" ht="63.75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853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854</v>
      </c>
    </row>
    <row r="41" spans="2:16" ht="157.5" customHeight="1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819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820</v>
      </c>
    </row>
    <row r="42" spans="2:16" ht="83.25" customHeight="1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833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833</v>
      </c>
    </row>
    <row r="43" spans="2:16" ht="151.5" customHeight="1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817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818</v>
      </c>
    </row>
    <row r="44" spans="2:16" s="23" customFormat="1" ht="60" customHeight="1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621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622</v>
      </c>
    </row>
    <row r="45" spans="2:16" ht="189.75" customHeight="1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793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793</v>
      </c>
    </row>
    <row r="46" spans="2:16" s="23" customFormat="1" ht="113.25" customHeight="1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732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733</v>
      </c>
    </row>
    <row r="47" spans="2:16" ht="63.75" customHeight="1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542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542</v>
      </c>
    </row>
    <row r="48" spans="2:16" ht="53.25" customHeight="1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566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567</v>
      </c>
    </row>
    <row r="49" spans="2:16" s="23" customFormat="1" ht="114" customHeight="1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676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677</v>
      </c>
    </row>
    <row r="50" spans="2:16" ht="36.75" customHeight="1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375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375</v>
      </c>
    </row>
    <row r="51" spans="2:16" s="23" customFormat="1" ht="41.25" customHeight="1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727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728</v>
      </c>
    </row>
    <row r="52" spans="2:16" ht="12.75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2:16" ht="102" customHeight="1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752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753</v>
      </c>
    </row>
    <row r="54" spans="2:16" ht="74.25" customHeight="1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842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843</v>
      </c>
    </row>
    <row r="55" spans="2:16" ht="115.5" customHeight="1" thickBot="1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731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731</v>
      </c>
    </row>
    <row r="56" spans="1:16" ht="12.75">
      <c r="A56" s="412">
        <v>4</v>
      </c>
      <c r="B56" s="83"/>
      <c r="C56" s="83"/>
      <c r="D56" s="141"/>
      <c r="E56" s="418" t="s">
        <v>74</v>
      </c>
      <c r="F56" s="419"/>
      <c r="G56" s="419" t="s">
        <v>76</v>
      </c>
      <c r="H56" s="419"/>
      <c r="I56" s="88" t="s">
        <v>65</v>
      </c>
      <c r="J56" s="419" t="s">
        <v>63</v>
      </c>
      <c r="K56" s="419"/>
      <c r="L56" s="89" t="s">
        <v>75</v>
      </c>
      <c r="M56" s="83"/>
      <c r="N56" s="83"/>
      <c r="O56" s="83"/>
      <c r="P56" s="83"/>
    </row>
    <row r="57" spans="1:16" ht="16.5" thickBot="1">
      <c r="A57" s="413"/>
      <c r="B57" s="83"/>
      <c r="C57" s="83"/>
      <c r="D57" s="142"/>
      <c r="E57" s="414" t="s">
        <v>144</v>
      </c>
      <c r="F57" s="415"/>
      <c r="G57" s="415"/>
      <c r="H57" s="415"/>
      <c r="I57" s="415"/>
      <c r="J57" s="415"/>
      <c r="K57" s="415"/>
      <c r="L57" s="417"/>
      <c r="M57" s="83"/>
      <c r="N57" s="83"/>
      <c r="O57" s="83"/>
      <c r="P57" s="83"/>
    </row>
    <row r="58" spans="2:16" ht="13.5" thickBot="1">
      <c r="B58" s="92" t="s">
        <v>111</v>
      </c>
      <c r="C58" s="93" t="s">
        <v>112</v>
      </c>
      <c r="D58" s="93" t="s">
        <v>113</v>
      </c>
      <c r="E58" s="95" t="s">
        <v>114</v>
      </c>
      <c r="F58" s="95" t="s">
        <v>115</v>
      </c>
      <c r="G58" s="95" t="s">
        <v>116</v>
      </c>
      <c r="H58" s="96" t="s">
        <v>117</v>
      </c>
      <c r="I58" s="75"/>
      <c r="J58" s="92" t="s">
        <v>111</v>
      </c>
      <c r="K58" s="93" t="s">
        <v>118</v>
      </c>
      <c r="L58" s="94" t="s">
        <v>113</v>
      </c>
      <c r="M58" s="95" t="s">
        <v>114</v>
      </c>
      <c r="N58" s="95" t="s">
        <v>115</v>
      </c>
      <c r="O58" s="95" t="s">
        <v>116</v>
      </c>
      <c r="P58" s="96" t="s">
        <v>117</v>
      </c>
    </row>
    <row r="59" spans="2:16" ht="12.75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2:16" ht="12.75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aca="true" t="shared" si="4" ref="K60:K99">21196+1813+J60*14</f>
        <v>23037</v>
      </c>
      <c r="L60" s="17"/>
      <c r="M60" s="9"/>
      <c r="N60" s="9"/>
      <c r="O60" s="9"/>
      <c r="P60" s="113"/>
    </row>
    <row r="61" spans="2:16" ht="12.75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2:16" ht="12.75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2:16" ht="12.75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2:16" ht="12.75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498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499</v>
      </c>
    </row>
    <row r="66" spans="2:16" ht="37.5" customHeight="1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852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852</v>
      </c>
    </row>
    <row r="68" spans="2:16" ht="75.75" customHeight="1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814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815</v>
      </c>
    </row>
    <row r="69" spans="2:16" ht="58.5" customHeight="1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800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801</v>
      </c>
    </row>
    <row r="70" spans="2:16" ht="93.75" customHeight="1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959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960</v>
      </c>
    </row>
    <row r="71" spans="2:16" ht="25.5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821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822</v>
      </c>
    </row>
    <row r="72" spans="2:16" ht="41.25" customHeight="1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490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491</v>
      </c>
    </row>
    <row r="73" spans="2:16" ht="12.75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389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390</v>
      </c>
    </row>
    <row r="74" spans="2:16" s="23" customFormat="1" ht="37.5" customHeight="1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863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863</v>
      </c>
    </row>
    <row r="75" spans="2:16" s="23" customFormat="1" ht="12.75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486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487</v>
      </c>
    </row>
    <row r="76" spans="2:16" ht="12.75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620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620</v>
      </c>
    </row>
    <row r="77" spans="2:16" ht="12.75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601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601</v>
      </c>
    </row>
    <row r="78" spans="2:16" ht="12.75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694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695</v>
      </c>
    </row>
    <row r="79" spans="2:16" ht="25.5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734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735</v>
      </c>
    </row>
    <row r="80" spans="2:16" ht="112.5" customHeight="1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690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691</v>
      </c>
    </row>
    <row r="81" spans="2:16" ht="12.75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719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675</v>
      </c>
    </row>
    <row r="82" spans="2:16" ht="12.75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ht="12.75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388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388</v>
      </c>
    </row>
    <row r="84" spans="2:16" ht="12.75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ht="12.75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388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391</v>
      </c>
    </row>
    <row r="86" spans="2:16" ht="12.75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ht="12.75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27" customHeight="1">
      <c r="B88" s="163">
        <v>30</v>
      </c>
      <c r="C88" s="168">
        <v>22421</v>
      </c>
      <c r="D88" s="17" t="s">
        <v>7</v>
      </c>
      <c r="E88" s="9"/>
      <c r="F88" s="9"/>
      <c r="G88" s="9"/>
      <c r="H88" s="38" t="s">
        <v>929</v>
      </c>
      <c r="I88" s="6"/>
      <c r="J88" s="168">
        <v>30</v>
      </c>
      <c r="K88" s="168">
        <f t="shared" si="4"/>
        <v>23429</v>
      </c>
      <c r="L88" s="17" t="s">
        <v>7</v>
      </c>
      <c r="M88" s="9"/>
      <c r="N88" s="9"/>
      <c r="O88" s="9"/>
      <c r="P88" s="170" t="s">
        <v>929</v>
      </c>
    </row>
    <row r="89" spans="2:16" ht="12.75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ht="12.75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ht="12.75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ht="12.75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568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568</v>
      </c>
    </row>
    <row r="93" spans="2:16" ht="12.75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ht="12.75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ht="12.75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ht="12.75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2:16" ht="12.75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2:16" ht="12.75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2:16" ht="13.5" thickBot="1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ht="12.75">
      <c r="A100" s="412">
        <v>5</v>
      </c>
      <c r="B100" s="83"/>
      <c r="C100" s="83"/>
      <c r="D100" s="141"/>
      <c r="E100" s="418" t="s">
        <v>77</v>
      </c>
      <c r="F100" s="419"/>
      <c r="G100" s="419" t="s">
        <v>79</v>
      </c>
      <c r="H100" s="419"/>
      <c r="I100" s="88" t="s">
        <v>65</v>
      </c>
      <c r="J100" s="419" t="s">
        <v>63</v>
      </c>
      <c r="K100" s="419"/>
      <c r="L100" s="89" t="s">
        <v>78</v>
      </c>
      <c r="M100" s="83"/>
      <c r="N100" s="83"/>
      <c r="O100" s="83"/>
      <c r="P100" s="83"/>
    </row>
    <row r="101" spans="1:16" ht="16.5" thickBot="1">
      <c r="A101" s="413"/>
      <c r="B101" s="83"/>
      <c r="C101" s="83"/>
      <c r="D101" s="142"/>
      <c r="E101" s="414" t="s">
        <v>147</v>
      </c>
      <c r="F101" s="415"/>
      <c r="G101" s="415"/>
      <c r="H101" s="415"/>
      <c r="I101" s="415"/>
      <c r="J101" s="415"/>
      <c r="K101" s="415"/>
      <c r="L101" s="417"/>
      <c r="M101" s="83"/>
      <c r="N101" s="83"/>
      <c r="O101" s="83"/>
      <c r="P101" s="83"/>
    </row>
    <row r="102" spans="2:16" ht="13.5" thickBot="1">
      <c r="B102" s="92" t="s">
        <v>111</v>
      </c>
      <c r="C102" s="93" t="s">
        <v>112</v>
      </c>
      <c r="D102" s="93" t="s">
        <v>113</v>
      </c>
      <c r="E102" s="95" t="s">
        <v>114</v>
      </c>
      <c r="F102" s="95" t="s">
        <v>115</v>
      </c>
      <c r="G102" s="95" t="s">
        <v>116</v>
      </c>
      <c r="H102" s="96" t="s">
        <v>117</v>
      </c>
      <c r="I102" s="75"/>
      <c r="J102" s="92" t="s">
        <v>111</v>
      </c>
      <c r="K102" s="93" t="s">
        <v>118</v>
      </c>
      <c r="L102" s="94" t="s">
        <v>113</v>
      </c>
      <c r="M102" s="95" t="s">
        <v>114</v>
      </c>
      <c r="N102" s="95" t="s">
        <v>115</v>
      </c>
      <c r="O102" s="95" t="s">
        <v>116</v>
      </c>
      <c r="P102" s="96" t="s">
        <v>117</v>
      </c>
    </row>
    <row r="103" spans="2:16" ht="107.25" customHeight="1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504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504</v>
      </c>
    </row>
    <row r="104" spans="2:16" ht="38.25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238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238</v>
      </c>
    </row>
    <row r="105" spans="2:16" ht="46.5" customHeight="1">
      <c r="B105" s="163">
        <v>3</v>
      </c>
      <c r="C105" s="168">
        <f aca="true" t="shared" si="5" ref="C105:C168">SUM(C104+7)</f>
        <v>22025.5</v>
      </c>
      <c r="D105" s="17" t="s">
        <v>7</v>
      </c>
      <c r="E105" s="9"/>
      <c r="F105" s="9"/>
      <c r="G105" s="9"/>
      <c r="H105" s="24" t="s">
        <v>325</v>
      </c>
      <c r="I105" s="6"/>
      <c r="J105" s="168">
        <v>3</v>
      </c>
      <c r="K105" s="168">
        <f aca="true" t="shared" si="6" ref="K105:K168">SUM(K104+7)</f>
        <v>23033.5</v>
      </c>
      <c r="L105" s="17" t="s">
        <v>7</v>
      </c>
      <c r="M105" s="9"/>
      <c r="N105" s="9"/>
      <c r="O105" s="9"/>
      <c r="P105" s="134" t="s">
        <v>326</v>
      </c>
    </row>
    <row r="106" spans="2:16" ht="51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239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327</v>
      </c>
    </row>
    <row r="107" spans="2:16" ht="12.75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2:16" ht="12.75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240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240</v>
      </c>
    </row>
    <row r="109" spans="2:16" ht="25.5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241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241</v>
      </c>
    </row>
    <row r="110" spans="2:16" ht="12.75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237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237</v>
      </c>
    </row>
    <row r="111" spans="2:16" ht="12.75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243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243</v>
      </c>
    </row>
    <row r="112" spans="2:16" ht="12.75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242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242</v>
      </c>
    </row>
    <row r="114" spans="2:16" ht="12.75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ht="12.75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ht="12.75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ht="12.75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323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324</v>
      </c>
    </row>
    <row r="118" spans="2:16" s="23" customFormat="1" ht="238.5" customHeight="1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795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796</v>
      </c>
    </row>
    <row r="119" spans="2:16" s="23" customFormat="1" ht="63.75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520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519</v>
      </c>
    </row>
    <row r="120" spans="2:16" ht="78" customHeight="1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481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482</v>
      </c>
    </row>
    <row r="121" spans="2:16" s="23" customFormat="1" ht="63.75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571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572</v>
      </c>
    </row>
    <row r="122" spans="2:16" s="23" customFormat="1" ht="76.5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597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598</v>
      </c>
    </row>
    <row r="123" spans="2:16" s="23" customFormat="1" ht="38.25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359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360</v>
      </c>
    </row>
    <row r="124" spans="2:16" s="23" customFormat="1" ht="66.75" customHeight="1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494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495</v>
      </c>
    </row>
    <row r="125" spans="2:16" s="23" customFormat="1" ht="297.75" customHeight="1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725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726</v>
      </c>
    </row>
    <row r="126" spans="2:16" s="23" customFormat="1" ht="76.5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516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517</v>
      </c>
    </row>
    <row r="127" spans="2:16" s="23" customFormat="1" ht="230.25" customHeight="1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505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506</v>
      </c>
    </row>
    <row r="128" spans="2:16" s="23" customFormat="1" ht="38.25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723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724</v>
      </c>
    </row>
    <row r="129" spans="2:16" s="23" customFormat="1" ht="51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273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274</v>
      </c>
    </row>
    <row r="130" spans="2:16" s="23" customFormat="1" ht="74.25" customHeight="1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674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673</v>
      </c>
    </row>
    <row r="131" spans="2:16" ht="12.75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270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270</v>
      </c>
    </row>
    <row r="132" spans="2:16" ht="12.75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338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338</v>
      </c>
    </row>
    <row r="133" spans="2:16" ht="12.75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ht="12.75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ht="12.75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ht="12.75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722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722</v>
      </c>
    </row>
    <row r="137" spans="2:16" ht="25.5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282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283</v>
      </c>
    </row>
    <row r="138" spans="2:16" ht="12.75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ht="12.75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656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657</v>
      </c>
    </row>
    <row r="141" spans="2:16" ht="25.5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558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558</v>
      </c>
    </row>
    <row r="142" spans="2:16" ht="25.5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751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751</v>
      </c>
    </row>
    <row r="143" spans="2:16" ht="12.75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ht="12.75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ht="12.75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362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363</v>
      </c>
    </row>
    <row r="146" spans="2:16" ht="12.75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ht="12.75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ht="12.75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720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718</v>
      </c>
    </row>
    <row r="149" spans="2:16" ht="12.75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ht="12.75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ht="12.75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ht="12.75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508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508</v>
      </c>
    </row>
    <row r="153" spans="2:16" ht="12.75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ht="12.75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ht="12.75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ht="12.75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ht="12.75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ht="12.75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ht="12.75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ht="12.75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ht="12.75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ht="12.75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511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511</v>
      </c>
    </row>
    <row r="163" spans="2:16" ht="12.75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ht="12.75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ht="12.75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ht="12.75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ht="12.75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ht="12.75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>
      <c r="B169" s="163">
        <v>67</v>
      </c>
      <c r="C169" s="168">
        <f aca="true" t="shared" si="7" ref="C169:C184">SUM(C168+7)</f>
        <v>22473.5</v>
      </c>
      <c r="D169" s="17" t="s">
        <v>7</v>
      </c>
      <c r="E169" s="9"/>
      <c r="F169" s="9"/>
      <c r="G169" s="9"/>
      <c r="H169" s="29" t="s">
        <v>750</v>
      </c>
      <c r="I169" s="6"/>
      <c r="J169" s="168">
        <v>67</v>
      </c>
      <c r="K169" s="168">
        <f aca="true" t="shared" si="8" ref="K169:K185">SUM(K168+7)</f>
        <v>23481.5</v>
      </c>
      <c r="L169" s="17" t="s">
        <v>7</v>
      </c>
      <c r="M169" s="9"/>
      <c r="N169" s="9"/>
      <c r="O169" s="9"/>
      <c r="P169" s="179" t="s">
        <v>750</v>
      </c>
    </row>
    <row r="170" spans="2:16" ht="12.75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ht="12.75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ht="12.75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ht="12.75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ht="12.75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ht="12.75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ht="12.75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2:16" ht="12.75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635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635</v>
      </c>
    </row>
    <row r="178" spans="2:16" ht="12.75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2:16" ht="12.75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2:16" ht="12.75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2:16" ht="12.75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2:16" ht="12.75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2:16" ht="12.75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2:16" ht="12.75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2:16" ht="13.5" thickBot="1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ht="12.75">
      <c r="A186" s="412">
        <v>6</v>
      </c>
      <c r="B186" s="83"/>
      <c r="C186" s="83"/>
      <c r="D186" s="141"/>
      <c r="E186" s="418" t="s">
        <v>89</v>
      </c>
      <c r="F186" s="419"/>
      <c r="G186" s="419" t="s">
        <v>91</v>
      </c>
      <c r="H186" s="419"/>
      <c r="I186" s="88" t="s">
        <v>65</v>
      </c>
      <c r="J186" s="419" t="s">
        <v>63</v>
      </c>
      <c r="K186" s="419"/>
      <c r="L186" s="89" t="s">
        <v>90</v>
      </c>
      <c r="M186" s="83"/>
      <c r="N186" s="83"/>
      <c r="O186" s="83"/>
      <c r="P186" s="83"/>
    </row>
    <row r="187" spans="1:16" ht="16.5" thickBot="1">
      <c r="A187" s="413"/>
      <c r="B187" s="83"/>
      <c r="C187" s="83"/>
      <c r="D187" s="142"/>
      <c r="E187" s="414" t="s">
        <v>150</v>
      </c>
      <c r="F187" s="415"/>
      <c r="G187" s="415"/>
      <c r="H187" s="415"/>
      <c r="I187" s="415"/>
      <c r="J187" s="415"/>
      <c r="K187" s="415"/>
      <c r="L187" s="417"/>
      <c r="M187" s="83"/>
      <c r="N187" s="83"/>
      <c r="O187" s="83"/>
      <c r="P187" s="83"/>
    </row>
    <row r="188" spans="2:16" ht="13.5" thickBot="1">
      <c r="B188" s="92" t="s">
        <v>111</v>
      </c>
      <c r="C188" s="93" t="s">
        <v>112</v>
      </c>
      <c r="D188" s="93" t="s">
        <v>113</v>
      </c>
      <c r="E188" s="95" t="s">
        <v>114</v>
      </c>
      <c r="F188" s="95" t="s">
        <v>115</v>
      </c>
      <c r="G188" s="95" t="s">
        <v>116</v>
      </c>
      <c r="H188" s="96" t="s">
        <v>117</v>
      </c>
      <c r="I188" s="75"/>
      <c r="J188" s="92" t="s">
        <v>111</v>
      </c>
      <c r="K188" s="93" t="s">
        <v>118</v>
      </c>
      <c r="L188" s="94" t="s">
        <v>113</v>
      </c>
      <c r="M188" s="95" t="s">
        <v>114</v>
      </c>
      <c r="N188" s="95" t="s">
        <v>115</v>
      </c>
      <c r="O188" s="95" t="s">
        <v>116</v>
      </c>
      <c r="P188" s="96" t="s">
        <v>117</v>
      </c>
    </row>
    <row r="189" spans="2:16" s="23" customFormat="1" ht="25.5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271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272</v>
      </c>
    </row>
    <row r="190" spans="2:16" ht="12.75">
      <c r="B190" s="227">
        <v>2</v>
      </c>
      <c r="C190" s="295">
        <f aca="true" t="shared" si="9" ref="C190:C253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aca="true" t="shared" si="10" ref="K190:K253">21196+1813+J190*3.5</f>
        <v>23016</v>
      </c>
      <c r="L190" s="17"/>
      <c r="M190" s="9"/>
      <c r="N190" s="9"/>
      <c r="O190" s="9"/>
      <c r="P190" s="113"/>
    </row>
    <row r="191" spans="2:16" ht="12.75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2:16" ht="12.75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ht="12.75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ht="12.75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ht="12.75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ht="12.75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ht="12.75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ht="12.75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ht="12.75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ht="12.75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ht="12.75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ht="12.75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ht="12.75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ht="12.75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ht="12.75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ht="12.75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ht="12.75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ht="12.75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ht="12.75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ht="12.75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315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319</v>
      </c>
    </row>
    <row r="212" spans="2:16" ht="12.75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ht="12.75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ht="12.75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ht="12.75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320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321</v>
      </c>
    </row>
    <row r="216" spans="2:16" ht="12.75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ht="12.75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ht="12.75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ht="12.75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ht="12.75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545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546</v>
      </c>
    </row>
    <row r="222" spans="2:16" ht="12.75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ht="12.75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ht="12.75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ht="12.75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ht="12.75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ht="12.75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ht="12.75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ht="12.75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ht="12.75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ht="12.75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578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578</v>
      </c>
    </row>
    <row r="234" spans="2:16" ht="12.75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ht="12.75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ht="12.75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ht="12.75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ht="12.75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ht="12.75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ht="12.75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ht="12.75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ht="12.75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ht="12.75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ht="12.75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ht="12.75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ht="12.75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277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277</v>
      </c>
    </row>
    <row r="247" spans="2:16" ht="12.75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ht="12.75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ht="12.75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ht="12.75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ht="12.75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ht="12.75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ht="12.75">
      <c r="B254" s="227">
        <v>66</v>
      </c>
      <c r="C254" s="295">
        <f aca="true" t="shared" si="11" ref="C254:C317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aca="true" t="shared" si="12" ref="K254:K317">21196+1813+J254*3.5</f>
        <v>23240</v>
      </c>
      <c r="L254" s="17"/>
      <c r="M254" s="9"/>
      <c r="N254" s="9"/>
      <c r="O254" s="9"/>
      <c r="P254" s="113"/>
    </row>
    <row r="255" spans="2:16" ht="12.75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ht="12.75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ht="12.75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ht="12.75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ht="12.75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ht="12.75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ht="12.75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ht="12.75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ht="12.75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ht="12.75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ht="12.75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ht="12.75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ht="12.75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ht="12.75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ht="12.75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ht="12.75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ht="12.75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ht="12.75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ht="12.75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ht="12.75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ht="12.75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ht="12.75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ht="12.75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ht="12.75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ht="12.75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ht="12.75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ht="12.75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ht="12.75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ht="12.75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ht="12.75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ht="12.75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ht="12.75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ht="12.75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ht="12.75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ht="12.75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ht="12.75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ht="12.75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ht="12.75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ht="12.75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ht="12.75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ht="12.75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ht="12.75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ht="12.75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ht="12.75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ht="12.75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ht="12.75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ht="12.75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ht="12.75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ht="12.75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ht="12.75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ht="12.75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ht="12.75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ht="12.75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ht="12.75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ht="12.75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ht="12.75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ht="12.75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ht="12.75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ht="12.75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ht="12.75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ht="12.75">
      <c r="B318" s="227">
        <v>130</v>
      </c>
      <c r="C318" s="295">
        <f aca="true" t="shared" si="13" ref="C318:C356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aca="true" t="shared" si="14" ref="K318:K356">21196+1813+J318*3.5</f>
        <v>23464</v>
      </c>
      <c r="L318" s="17"/>
      <c r="M318" s="9"/>
      <c r="N318" s="9"/>
      <c r="O318" s="9"/>
      <c r="P318" s="113"/>
    </row>
    <row r="319" spans="2:16" ht="12.75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ht="12.75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ht="12.75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ht="12.75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ht="12.75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ht="12.75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ht="12.75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ht="12.75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ht="12.75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ht="12.75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ht="12.75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ht="12.75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ht="12.75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ht="12.75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ht="12.75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ht="12.75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ht="12.75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ht="12.75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ht="12.75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ht="12.75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ht="12.75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ht="12.75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ht="12.75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ht="12.75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ht="12.75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ht="12.75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ht="12.75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ht="12.75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ht="12.75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ht="12.75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ht="12.75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ht="12.75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ht="12.75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ht="12.75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ht="12.75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ht="12.75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75"/>
  <sheetViews>
    <sheetView workbookViewId="0" topLeftCell="A28">
      <selection activeCell="B13" sqref="B13:P14"/>
    </sheetView>
  </sheetViews>
  <sheetFormatPr defaultColWidth="9.140625" defaultRowHeight="12.75"/>
  <cols>
    <col min="2" max="2" width="10.28125" style="0" customWidth="1"/>
    <col min="3" max="3" width="21.57421875" style="0" customWidth="1"/>
    <col min="9" max="9" width="19.00390625" style="0" customWidth="1"/>
    <col min="10" max="10" width="11.00390625" style="0" customWidth="1"/>
    <col min="11" max="11" width="18.140625" style="0" customWidth="1"/>
    <col min="12" max="12" width="11.71093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38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461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39</v>
      </c>
      <c r="K13" s="419"/>
      <c r="L13" s="89" t="s">
        <v>27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 aca="true" t="shared" si="0" ref="C17:C23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28500.5+J17*112</f>
        <v>28724.5</v>
      </c>
      <c r="L17" s="9"/>
      <c r="M17" s="9"/>
      <c r="N17" s="9"/>
      <c r="O17" s="9"/>
      <c r="P17" s="113"/>
    </row>
    <row r="18" spans="2:16" ht="12.75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2:16" ht="12.75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2:16" ht="12.75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2:16" ht="12.75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2:16" ht="12.75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2:16" ht="13.5" thickBot="1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ht="12.75">
      <c r="A24" s="412">
        <v>2</v>
      </c>
      <c r="B24" s="83"/>
      <c r="C24" s="83"/>
      <c r="D24" s="141"/>
      <c r="E24" s="418" t="s">
        <v>29</v>
      </c>
      <c r="F24" s="419"/>
      <c r="G24" s="419" t="s">
        <v>31</v>
      </c>
      <c r="H24" s="419"/>
      <c r="I24" s="88" t="s">
        <v>65</v>
      </c>
      <c r="J24" s="419" t="s">
        <v>39</v>
      </c>
      <c r="K24" s="419"/>
      <c r="L24" s="89" t="s">
        <v>30</v>
      </c>
      <c r="M24" s="83"/>
      <c r="N24" s="83"/>
      <c r="O24" s="83"/>
      <c r="P24" s="83"/>
    </row>
    <row r="25" spans="1:16" ht="16.5" thickBot="1">
      <c r="A25" s="413"/>
      <c r="B25" s="83"/>
      <c r="C25" s="83"/>
      <c r="D25" s="142"/>
      <c r="E25" s="414" t="s">
        <v>209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</row>
    <row r="26" spans="2:16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</row>
    <row r="27" spans="2:16" ht="12.75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2:16" ht="12.75">
      <c r="B28" s="227">
        <v>2</v>
      </c>
      <c r="C28" s="230">
        <f aca="true" t="shared" si="2" ref="C28:C4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28500.5+28+J28*56</f>
        <v>28640.5</v>
      </c>
      <c r="L28" s="9"/>
      <c r="M28" s="9"/>
      <c r="N28" s="9"/>
      <c r="O28" s="9"/>
      <c r="P28" s="113"/>
    </row>
    <row r="29" spans="2:16" ht="12.75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2:16" ht="12.75">
      <c r="B30" s="227">
        <f aca="true" t="shared" si="4" ref="B30:B42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aca="true" t="shared" si="5" ref="J30:J42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2:16" ht="12.75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2:16" ht="12.75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2:16" ht="12.75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2:16" ht="12.75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2:16" ht="12.75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2:16" ht="12.75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2:16" ht="12.75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2:16" ht="12.75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2:16" ht="12.75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2:16" ht="12.75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2:16" ht="12.75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2:16" ht="13.5" thickBot="1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ht="12.75">
      <c r="A43" s="412">
        <v>3</v>
      </c>
      <c r="B43" s="83"/>
      <c r="C43" s="83"/>
      <c r="D43" s="141"/>
      <c r="E43" s="418" t="s">
        <v>32</v>
      </c>
      <c r="F43" s="419"/>
      <c r="G43" s="419" t="s">
        <v>34</v>
      </c>
      <c r="H43" s="419"/>
      <c r="I43" s="88" t="s">
        <v>65</v>
      </c>
      <c r="J43" s="419" t="s">
        <v>39</v>
      </c>
      <c r="K43" s="419"/>
      <c r="L43" s="89" t="s">
        <v>33</v>
      </c>
      <c r="M43" s="83"/>
      <c r="N43" s="83"/>
      <c r="O43" s="83"/>
      <c r="P43" s="83"/>
    </row>
    <row r="44" spans="1:16" ht="16.5" thickBot="1">
      <c r="A44" s="413"/>
      <c r="B44" s="83"/>
      <c r="C44" s="83"/>
      <c r="D44" s="142"/>
      <c r="E44" s="414" t="s">
        <v>140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</row>
    <row r="45" spans="2:16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</row>
    <row r="46" spans="2:16" ht="12.75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2:16" ht="12.75">
      <c r="B47" s="227">
        <v>2</v>
      </c>
      <c r="C47" s="230">
        <f aca="true" t="shared" si="6" ref="C47:C77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aca="true" t="shared" si="7" ref="K47:K77">28500.5+42+J47*28</f>
        <v>28598.5</v>
      </c>
      <c r="L47" s="9"/>
      <c r="M47" s="9"/>
      <c r="N47" s="9"/>
      <c r="O47" s="9"/>
      <c r="P47" s="113"/>
    </row>
    <row r="48" spans="2:16" ht="12.75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ht="12.75">
      <c r="B49" s="227">
        <f aca="true" t="shared" si="8" ref="B49:B77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aca="true" t="shared" si="9" ref="J49:J77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ht="12.75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ht="12.75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ht="12.75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ht="12.75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ht="12.75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ht="12.75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ht="12.75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ht="12.75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ht="12.75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ht="12.75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ht="12.75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ht="12.75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ht="12.75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ht="12.75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ht="12.75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2:16" ht="12.75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2:16" ht="12.75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2:16" ht="12.75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2:16" ht="12.75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2:16" ht="12.75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2:16" ht="12.75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2:16" ht="12.75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2:16" ht="12.75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2:16" ht="12.75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2:16" ht="12.75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2:16" ht="12.75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2:16" ht="12.75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2:16" ht="13.5" thickBot="1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ht="12.75">
      <c r="A78" s="412">
        <v>4</v>
      </c>
      <c r="B78" s="83"/>
      <c r="C78" s="83"/>
      <c r="D78" s="141"/>
      <c r="E78" s="418" t="s">
        <v>35</v>
      </c>
      <c r="F78" s="419"/>
      <c r="G78" s="419" t="s">
        <v>37</v>
      </c>
      <c r="H78" s="419"/>
      <c r="I78" s="88" t="s">
        <v>65</v>
      </c>
      <c r="J78" s="419" t="s">
        <v>39</v>
      </c>
      <c r="K78" s="419"/>
      <c r="L78" s="89" t="s">
        <v>36</v>
      </c>
      <c r="M78" s="83"/>
      <c r="N78" s="83"/>
      <c r="O78" s="83"/>
      <c r="P78" s="83"/>
    </row>
    <row r="79" spans="1:16" ht="16.5" thickBot="1">
      <c r="A79" s="413"/>
      <c r="B79" s="83"/>
      <c r="C79" s="83"/>
      <c r="D79" s="142"/>
      <c r="E79" s="414" t="s">
        <v>144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</row>
    <row r="80" spans="2:16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</row>
    <row r="81" spans="2:16" ht="12.75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ht="12.75">
      <c r="B82" s="227">
        <v>2</v>
      </c>
      <c r="C82" s="230">
        <f aca="true" t="shared" si="10" ref="C82:C144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aca="true" t="shared" si="11" ref="K82:K144">28500.5+49+J82*14</f>
        <v>28577.5</v>
      </c>
      <c r="L82" s="9"/>
      <c r="M82" s="9"/>
      <c r="N82" s="9"/>
      <c r="O82" s="9"/>
      <c r="P82" s="113"/>
    </row>
    <row r="83" spans="2:16" ht="12.75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ht="12.75">
      <c r="B84" s="227">
        <f aca="true" t="shared" si="12" ref="B84:B144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aca="true" t="shared" si="13" ref="J84:J144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ht="12.75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ht="12.75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ht="12.75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ht="12.75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ht="12.75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ht="12.75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ht="12.75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ht="12.75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ht="12.75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ht="12.75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ht="12.75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ht="12.75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ht="12.75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ht="12.75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ht="12.75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ht="12.75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ht="12.75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ht="12.75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ht="12.75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ht="12.75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ht="12.75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ht="12.75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ht="12.75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ht="12.75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ht="12.75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ht="12.75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ht="12.75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ht="12.75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ht="12.75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ht="12.75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ht="12.75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ht="12.75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ht="12.75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ht="12.75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ht="12.75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ht="12.75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ht="12.75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ht="12.75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ht="12.75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ht="12.75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ht="12.75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ht="12.75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ht="12.75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ht="12.75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ht="12.75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ht="12.75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ht="12.75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ht="12.75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ht="12.75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ht="12.75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ht="12.75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ht="12.75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ht="12.75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ht="12.75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ht="12.75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ht="12.75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ht="12.75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ht="12.75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ht="12.75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ht="12.75">
      <c r="A145" s="412">
        <v>5</v>
      </c>
      <c r="B145" s="83"/>
      <c r="C145" s="83"/>
      <c r="D145" s="141"/>
      <c r="E145" s="418" t="s">
        <v>20</v>
      </c>
      <c r="F145" s="419"/>
      <c r="G145" s="419" t="s">
        <v>22</v>
      </c>
      <c r="H145" s="419"/>
      <c r="I145" s="88" t="s">
        <v>65</v>
      </c>
      <c r="J145" s="419" t="s">
        <v>39</v>
      </c>
      <c r="K145" s="419"/>
      <c r="L145" s="89" t="s">
        <v>21</v>
      </c>
      <c r="M145" s="83"/>
      <c r="N145" s="83"/>
      <c r="O145" s="83"/>
      <c r="P145" s="83"/>
    </row>
    <row r="146" spans="1:16" ht="15" customHeight="1" thickBot="1">
      <c r="A146" s="413"/>
      <c r="B146" s="83"/>
      <c r="C146" s="83"/>
      <c r="D146" s="142"/>
      <c r="E146" s="414" t="s">
        <v>147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</row>
    <row r="147" spans="2:16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</row>
    <row r="148" spans="2:16" ht="12.75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2:16" ht="12.75">
      <c r="B149" s="227">
        <v>2</v>
      </c>
      <c r="C149" s="230">
        <f aca="true" t="shared" si="14" ref="C149:C212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aca="true" t="shared" si="15" ref="K149:K212">28500.5+52.5+J149*7</f>
        <v>28567</v>
      </c>
      <c r="L149" s="15"/>
      <c r="M149" s="15"/>
      <c r="N149" s="15"/>
      <c r="O149" s="15"/>
      <c r="P149" s="263"/>
    </row>
    <row r="150" spans="2:16" ht="12.75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2:16" ht="12.75">
      <c r="B151" s="227">
        <f aca="true" t="shared" si="16" ref="B151:B214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aca="true" t="shared" si="17" ref="J151:J214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2:16" ht="12.75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2:16" ht="12.75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2:16" ht="12.75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2:16" ht="12.75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2:16" ht="12.75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2:16" ht="12.75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2:16" ht="12.75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2:16" ht="12.75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2:16" ht="12.75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ht="12.75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ht="12.75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ht="12.75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ht="12.75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ht="12.75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ht="12.75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ht="12.75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ht="12.75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ht="12.75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ht="12.75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ht="12.75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ht="12.75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ht="12.75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ht="12.75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ht="12.75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ht="12.75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ht="12.75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ht="12.75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ht="12.75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ht="12.75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ht="12.75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ht="12.75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ht="12.75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ht="12.75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ht="12.75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ht="12.75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ht="12.75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ht="12.75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ht="12.75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ht="12.75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ht="12.75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ht="12.75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ht="12.75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ht="12.75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ht="12.75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ht="12.75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ht="12.75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ht="12.75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ht="12.75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ht="12.75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ht="12.75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ht="12.75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ht="12.75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ht="12.75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ht="12.75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ht="12.75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ht="12.75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ht="12.75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ht="12.75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ht="12.75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ht="12.75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ht="12.75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ht="12.75">
      <c r="B213" s="227">
        <f t="shared" si="16"/>
        <v>66</v>
      </c>
      <c r="C213" s="230">
        <f aca="true" t="shared" si="18" ref="C213:C275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aca="true" t="shared" si="19" ref="K213:K275">28500.5+52.5+J213*7</f>
        <v>29015</v>
      </c>
      <c r="L213" s="15"/>
      <c r="M213" s="15"/>
      <c r="N213" s="15"/>
      <c r="O213" s="15"/>
      <c r="P213" s="263"/>
    </row>
    <row r="214" spans="2:16" ht="12.75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ht="12.75">
      <c r="B215" s="227">
        <f aca="true" t="shared" si="20" ref="B215:B275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aca="true" t="shared" si="21" ref="J215:J275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ht="12.75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ht="12.75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ht="12.75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ht="12.75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ht="12.75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ht="12.75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ht="12.75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ht="12.75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ht="12.75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ht="12.75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ht="12.75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ht="12.75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ht="12.75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ht="12.75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ht="12.75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ht="12.75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ht="12.75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ht="12.75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ht="12.75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ht="12.75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ht="12.75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ht="12.75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ht="12.75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ht="12.75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ht="12.75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ht="12.75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ht="12.75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ht="12.75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ht="12.75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ht="12.75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ht="12.75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ht="12.75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ht="12.75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ht="12.75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ht="12.75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ht="12.75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ht="12.75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ht="12.75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ht="12.75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ht="12.75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ht="12.75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ht="12.75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ht="12.75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ht="12.75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ht="12.75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ht="12.75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ht="12.75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ht="12.75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ht="12.75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ht="12.75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ht="12.75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ht="12.75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ht="12.75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ht="12.75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ht="12.75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ht="12.75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ht="12.75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ht="12.75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ht="12.75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87"/>
  <sheetViews>
    <sheetView workbookViewId="0" topLeftCell="A1">
      <selection activeCell="B13" sqref="B13:P14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7.7109375" style="0" customWidth="1"/>
    <col min="7" max="7" width="12.28125" style="0" customWidth="1"/>
    <col min="8" max="8" width="18.00390625" style="0" customWidth="1"/>
    <col min="9" max="9" width="18.421875" style="0" customWidth="1"/>
    <col min="10" max="10" width="11.00390625" style="0" customWidth="1"/>
    <col min="11" max="11" width="23.140625" style="0" customWidth="1"/>
    <col min="12" max="12" width="13.28125" style="0" customWidth="1"/>
    <col min="14" max="14" width="13.8515625" style="0" customWidth="1"/>
    <col min="15" max="15" width="13.421875" style="0" customWidth="1"/>
    <col min="16" max="16" width="22.574218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253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254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462</v>
      </c>
      <c r="F13" s="419"/>
      <c r="G13" s="419" t="s">
        <v>463</v>
      </c>
      <c r="H13" s="419"/>
      <c r="I13" s="88" t="s">
        <v>251</v>
      </c>
      <c r="J13" s="419" t="s">
        <v>252</v>
      </c>
      <c r="K13" s="419"/>
      <c r="L13" s="89" t="s">
        <v>250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147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25.5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255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255</v>
      </c>
    </row>
    <row r="17" spans="2:16" ht="12.75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ht="12.75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ht="12.75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ht="12.75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ht="12.75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ht="12.75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ht="12.75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ht="12.75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ht="12.75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ht="12.75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ht="12.75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ht="12.75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ht="12.75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ht="12.75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ht="12.75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ht="12.75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ht="12.75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ht="12.75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ht="12.75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ht="12.75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ht="12.75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ht="12.75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ht="12.75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ht="12.75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ht="12.75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ht="12.75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ht="12.75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ht="12.75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ht="12.75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ht="12.75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ht="12.75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ht="12.75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6" ht="12.75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6" ht="12.75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6" ht="12.75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6" ht="12.75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6" ht="12.75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6" ht="12.75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6" ht="12.75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6" ht="12.75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6" ht="12.75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6" ht="12.75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ht="12.75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ht="12.75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ht="12.75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ht="12.75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ht="12.75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ht="12.75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ht="12.75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ht="12.75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ht="12.75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ht="12.75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ht="12.75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ht="12.75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ht="12.75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ht="12.75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ht="12.75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ht="12.75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ht="12.75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ht="12.75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ht="12.75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ht="12.75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ht="12.75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ht="12.75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ht="12.75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ht="12.75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ht="12.75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ht="12.75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ht="12.75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ht="12.75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ht="12.75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ht="12.75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ht="12.75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ht="12.75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ht="12.75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ht="12.75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ht="12.75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ht="12.75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ht="12.75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ht="12.75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ht="12.75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ht="12.75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ht="12.75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ht="12.75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ht="12.75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ht="12.75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ht="12.75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ht="12.75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ht="12.75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ht="12.75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ht="12.75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ht="12.75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ht="12.75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ht="12.75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ht="12.75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ht="12.75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ht="12.75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ht="12.75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ht="12.75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ht="12.75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ht="12.75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ht="12.75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ht="12.75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ht="12.75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ht="12.75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ht="12.75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ht="12.75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ht="12.75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ht="12.75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ht="12.75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ht="12.75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ht="12.75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ht="12.75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ht="12.75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ht="12.75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ht="12.75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ht="12.75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ht="12.75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ht="12.75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ht="12.75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ht="12.75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ht="12.75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ht="12.75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ht="12.75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ht="12.75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ht="12.75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ht="12.75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ht="12.75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ht="12.75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ht="12.75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ht="12.75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ht="12.75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ht="12.75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ht="12.75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ht="12.75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ht="12.75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ht="12.75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ht="12.75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ht="12.75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ht="12.75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ht="12.75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ht="12.75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ht="12.75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ht="12.75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ht="12.75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ht="12.75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ht="12.75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ht="12.75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ht="12.75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ht="12.75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ht="12.75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ht="12.75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ht="12.75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ht="12.75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ht="12.75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ht="12.75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ht="12.75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ht="12.75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ht="12.75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ht="12.75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ht="12.75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ht="12.75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ht="12.75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ht="12.75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ht="12.75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ht="12.75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ht="12.75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ht="12.75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ht="12.75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ht="12.75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ht="12.75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ht="12.75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ht="12.75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ht="12.75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ht="12.75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ht="12.75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ht="12.75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ht="12.75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ht="12.75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ht="12.75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ht="12.75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ht="12.75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ht="12.75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ht="12.75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ht="12.75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ht="12.75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ht="12.75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ht="12.75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ht="12.75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ht="12.75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ht="12.75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ht="12.75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ht="12.75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ht="12.75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ht="12.75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ht="12.75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ht="12.75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ht="12.75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ht="12.75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ht="12.75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ht="12.75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ht="12.75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ht="12.75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ht="12.75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ht="12.75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ht="12.75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ht="12.75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ht="12.75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ht="12.75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ht="12.75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ht="12.75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ht="12.75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ht="12.75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ht="12.75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ht="12.75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ht="12.75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ht="12.75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ht="12.75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ht="12.75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ht="12.75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ht="12.75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ht="12.75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ht="12.75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ht="12.75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ht="12.75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ht="12.75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ht="12.75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ht="12.75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ht="12.75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ht="12.75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ht="12.75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ht="12.75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ht="12.75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ht="12.75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ht="12.75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ht="12.75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ht="12.75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ht="12.75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ht="12.75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ht="12.75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ht="12.75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ht="12.75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ht="12.75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ht="12.75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ht="12.75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ht="12.75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ht="12.75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ht="12.75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ht="12.75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ht="12.75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ht="12.75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ht="12.75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ht="12.75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ht="12.75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ht="12.75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ht="12.75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ht="12.75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ht="12.75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ht="12.75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ht="12.75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ht="12.75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ht="12.75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ht="12.75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ht="12.75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ht="12.75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ht="12.75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ht="12.75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ht="12.75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ht="12.75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ht="12.75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ht="12.75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ht="12.75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ht="12.75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ht="12.75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ht="12.75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ht="12.75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ht="12.75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ht="12.75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ht="12.75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ht="12.75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ht="12.75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ht="12.75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ht="12.75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ht="12.75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ht="12.75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ht="12.75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ht="12.75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ht="12.75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ht="12.75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ht="12.75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ht="12.75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ht="12.75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ht="12.75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ht="12.75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ht="12.75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ht="12.75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ht="12.75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ht="12.75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ht="12.75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ht="12.75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ht="12.75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ht="12.75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ht="12.75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ht="12.75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ht="12.75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ht="12.75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ht="12.75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ht="12.75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ht="12.75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ht="12.75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ht="12.75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ht="12.75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ht="12.75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ht="12.75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ht="12.75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ht="12.75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ht="12.75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ht="12.75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ht="12.75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ht="12.75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ht="12.75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ht="12.75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ht="12.75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ht="12.75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ht="12.75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ht="12.75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ht="12.75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ht="12.75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ht="12.75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ht="12.75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ht="12.75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ht="12.75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ht="12.75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ht="12.75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ht="12.75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ht="12.75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ht="12.75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ht="12.75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ht="12.75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ht="12.75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ht="12.75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ht="12.75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ht="12.75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ht="12.75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ht="12.75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ht="12.75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ht="12.75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ht="12.75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ht="12.75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ht="12.75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ht="12.75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ht="12.75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ht="12.75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ht="12.75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ht="12.75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ht="12.75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ht="12.75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ht="12.75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ht="12.75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ht="12.75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ht="12.75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ht="12.75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ht="12.75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ht="12.75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ht="12.75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ht="12.75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ht="12.75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ht="12.75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ht="12.75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ht="12.75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 topLeftCell="I103">
      <selection activeCell="P111" sqref="P111"/>
    </sheetView>
  </sheetViews>
  <sheetFormatPr defaultColWidth="9.140625" defaultRowHeight="12.75"/>
  <cols>
    <col min="3" max="3" width="19.421875" style="0" customWidth="1"/>
    <col min="6" max="6" width="17.28125" style="0" customWidth="1"/>
    <col min="8" max="8" width="62.28125" style="0" customWidth="1"/>
    <col min="9" max="9" width="23.8515625" style="0" customWidth="1"/>
    <col min="11" max="11" width="17.57421875" style="0" customWidth="1"/>
    <col min="12" max="12" width="15.140625" style="0" customWidth="1"/>
    <col min="16" max="16" width="57.00390625" style="0" customWidth="1"/>
  </cols>
  <sheetData>
    <row r="1" spans="4:12" ht="13.5" customHeight="1">
      <c r="D1" s="19"/>
      <c r="L1" s="19"/>
    </row>
    <row r="2" spans="4:12" ht="13.5" customHeight="1">
      <c r="D2" s="19"/>
      <c r="L2" s="19"/>
    </row>
    <row r="3" spans="4:12" ht="13.5" customHeight="1">
      <c r="D3" s="19"/>
      <c r="L3" s="19"/>
    </row>
    <row r="4" spans="4:12" ht="13.5" customHeight="1">
      <c r="D4" s="19"/>
      <c r="L4" s="19"/>
    </row>
    <row r="5" spans="4:12" ht="13.5" customHeight="1">
      <c r="D5" s="19"/>
      <c r="L5" s="19"/>
    </row>
    <row r="6" spans="4:12" ht="13.5" customHeight="1" thickBot="1">
      <c r="D6" s="19"/>
      <c r="L6" s="19"/>
    </row>
    <row r="7" spans="2:16" ht="13.5" customHeight="1" thickBot="1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2:16" ht="13.5" customHeight="1">
      <c r="B8" s="155"/>
      <c r="C8" s="84"/>
      <c r="D8" s="90"/>
      <c r="E8" s="420" t="s">
        <v>41</v>
      </c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2:16" ht="13.5" customHeight="1">
      <c r="B9" s="155"/>
      <c r="C9" s="84"/>
      <c r="D9" s="90"/>
      <c r="E9" s="423" t="s">
        <v>464</v>
      </c>
      <c r="F9" s="446"/>
      <c r="G9" s="446"/>
      <c r="H9" s="446"/>
      <c r="I9" s="446"/>
      <c r="J9" s="446"/>
      <c r="K9" s="446"/>
      <c r="L9" s="447"/>
      <c r="M9" s="87"/>
      <c r="N9" s="84"/>
      <c r="O9" s="84"/>
      <c r="P9" s="156"/>
    </row>
    <row r="10" spans="2:16" ht="13.5" customHeight="1">
      <c r="B10" s="157"/>
      <c r="C10" s="85"/>
      <c r="D10" s="86"/>
      <c r="E10" s="426" t="s">
        <v>418</v>
      </c>
      <c r="F10" s="448"/>
      <c r="G10" s="448"/>
      <c r="H10" s="448"/>
      <c r="I10" s="448"/>
      <c r="J10" s="448"/>
      <c r="K10" s="448"/>
      <c r="L10" s="449"/>
      <c r="M10" s="87"/>
      <c r="N10" s="84"/>
      <c r="O10" s="84"/>
      <c r="P10" s="156"/>
    </row>
    <row r="11" spans="2:16" ht="13.5" customHeight="1" thickBot="1">
      <c r="B11" s="143"/>
      <c r="C11" s="103"/>
      <c r="D11" s="104"/>
      <c r="E11" s="429" t="s">
        <v>40</v>
      </c>
      <c r="F11" s="430"/>
      <c r="G11" s="430"/>
      <c r="H11" s="430"/>
      <c r="I11" s="430"/>
      <c r="J11" s="430"/>
      <c r="K11" s="430"/>
      <c r="L11" s="431"/>
      <c r="M11" s="97"/>
      <c r="N11" s="91"/>
      <c r="O11" s="91"/>
      <c r="P11" s="111"/>
    </row>
    <row r="12" spans="2:16" ht="13.5" customHeight="1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2:16" ht="13.5" customHeight="1" thickBot="1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>
      <c r="A14" s="412">
        <v>1</v>
      </c>
      <c r="B14" s="83"/>
      <c r="C14" s="83"/>
      <c r="D14" s="141"/>
      <c r="E14" s="418" t="s">
        <v>44</v>
      </c>
      <c r="F14" s="419"/>
      <c r="G14" s="419" t="s">
        <v>45</v>
      </c>
      <c r="H14" s="419"/>
      <c r="I14" s="88" t="s">
        <v>465</v>
      </c>
      <c r="J14" s="419" t="s">
        <v>43</v>
      </c>
      <c r="K14" s="419"/>
      <c r="L14" s="89" t="s">
        <v>466</v>
      </c>
      <c r="M14" s="83"/>
      <c r="N14" s="83"/>
      <c r="O14" s="83"/>
      <c r="P14" s="83"/>
    </row>
    <row r="15" spans="1:16" ht="13.5" customHeight="1" thickBot="1">
      <c r="A15" s="413"/>
      <c r="B15" s="83"/>
      <c r="C15" s="83"/>
      <c r="D15" s="142"/>
      <c r="E15" s="414" t="s">
        <v>42</v>
      </c>
      <c r="F15" s="415"/>
      <c r="G15" s="415"/>
      <c r="H15" s="415"/>
      <c r="I15" s="415"/>
      <c r="J15" s="415"/>
      <c r="K15" s="415"/>
      <c r="L15" s="417"/>
      <c r="M15" s="83"/>
      <c r="N15" s="83"/>
      <c r="O15" s="83"/>
      <c r="P15" s="83"/>
    </row>
    <row r="16" spans="2:16" ht="13.5" thickBot="1">
      <c r="B16" s="92" t="s">
        <v>111</v>
      </c>
      <c r="C16" s="93" t="s">
        <v>112</v>
      </c>
      <c r="D16" s="94" t="s">
        <v>113</v>
      </c>
      <c r="E16" s="95" t="s">
        <v>114</v>
      </c>
      <c r="F16" s="95" t="s">
        <v>115</v>
      </c>
      <c r="G16" s="95" t="s">
        <v>116</v>
      </c>
      <c r="H16" s="96" t="s">
        <v>117</v>
      </c>
      <c r="I16" s="75"/>
      <c r="J16" s="92" t="s">
        <v>111</v>
      </c>
      <c r="K16" s="93" t="s">
        <v>118</v>
      </c>
      <c r="L16" s="94" t="s">
        <v>113</v>
      </c>
      <c r="M16" s="95" t="s">
        <v>114</v>
      </c>
      <c r="N16" s="95" t="s">
        <v>115</v>
      </c>
      <c r="O16" s="95" t="s">
        <v>116</v>
      </c>
      <c r="P16" s="96" t="s">
        <v>117</v>
      </c>
    </row>
    <row r="17" spans="2:16" ht="12.75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2:16" ht="12.75">
      <c r="B18" s="227">
        <v>2</v>
      </c>
      <c r="C18" s="230">
        <f aca="true" t="shared" si="0" ref="C18:C24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aca="true" t="shared" si="1" ref="K18:K24">38248+J18*140</f>
        <v>38528</v>
      </c>
      <c r="L18" s="17"/>
      <c r="M18" s="9"/>
      <c r="N18" s="9"/>
      <c r="O18" s="9"/>
      <c r="P18" s="113"/>
    </row>
    <row r="19" spans="2:16" ht="12.75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2:16" ht="12.75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2:16" ht="12.75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2:16" ht="12.75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2:16" ht="12.75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2:16" ht="13.5" thickBot="1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ht="12.75">
      <c r="A25" s="412">
        <v>2</v>
      </c>
      <c r="B25" s="83"/>
      <c r="C25" s="83"/>
      <c r="D25" s="141"/>
      <c r="E25" s="418" t="s">
        <v>46</v>
      </c>
      <c r="F25" s="419"/>
      <c r="G25" s="419" t="s">
        <v>47</v>
      </c>
      <c r="H25" s="419"/>
      <c r="I25" s="88" t="s">
        <v>465</v>
      </c>
      <c r="J25" s="419" t="s">
        <v>43</v>
      </c>
      <c r="K25" s="419"/>
      <c r="L25" s="89" t="s">
        <v>467</v>
      </c>
      <c r="M25" s="83"/>
      <c r="N25" s="83"/>
      <c r="O25" s="83"/>
      <c r="P25" s="83"/>
    </row>
    <row r="26" spans="1:16" ht="16.5" thickBot="1">
      <c r="A26" s="413"/>
      <c r="B26" s="83"/>
      <c r="C26" s="83"/>
      <c r="D26" s="142"/>
      <c r="E26" s="414" t="s">
        <v>209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ht="12.75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2:16" ht="12.75">
      <c r="B29" s="163">
        <v>2</v>
      </c>
      <c r="C29" s="168">
        <f aca="true" t="shared" si="2" ref="C29:C47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2:16" ht="25.5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885</v>
      </c>
      <c r="I30" s="6"/>
      <c r="J30" s="168">
        <v>3</v>
      </c>
      <c r="K30" s="168">
        <f aca="true" t="shared" si="3" ref="K30:K47">38248+42+J30*56</f>
        <v>38458</v>
      </c>
      <c r="L30" s="17" t="s">
        <v>7</v>
      </c>
      <c r="M30" s="9"/>
      <c r="N30" s="9"/>
      <c r="O30" s="9"/>
      <c r="P30" s="170" t="s">
        <v>885</v>
      </c>
    </row>
    <row r="31" spans="2:16" ht="12.75">
      <c r="B31" s="227">
        <v>4</v>
      </c>
      <c r="C31" s="230">
        <f t="shared" si="2"/>
        <v>37254</v>
      </c>
      <c r="D31" s="17" t="s">
        <v>7</v>
      </c>
      <c r="E31" s="9"/>
      <c r="F31" s="9"/>
      <c r="G31" s="9"/>
      <c r="H31" s="29" t="s">
        <v>841</v>
      </c>
      <c r="I31" s="6"/>
      <c r="J31" s="230">
        <v>4</v>
      </c>
      <c r="K31" s="230">
        <f t="shared" si="3"/>
        <v>38514</v>
      </c>
      <c r="L31" s="17" t="s">
        <v>7</v>
      </c>
      <c r="M31" s="9"/>
      <c r="N31" s="9"/>
      <c r="O31" s="9"/>
      <c r="P31" s="179" t="s">
        <v>841</v>
      </c>
    </row>
    <row r="32" spans="2:16" ht="12.75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846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847</v>
      </c>
    </row>
    <row r="33" spans="2:16" ht="51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838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838</v>
      </c>
    </row>
    <row r="34" spans="2:16" ht="45.75" customHeight="1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526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527</v>
      </c>
    </row>
    <row r="35" spans="2:16" ht="94.5" customHeight="1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839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840</v>
      </c>
    </row>
    <row r="36" spans="2:16" ht="112.5" customHeight="1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927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928</v>
      </c>
    </row>
    <row r="37" spans="2:16" ht="108.75" customHeight="1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871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872</v>
      </c>
    </row>
    <row r="38" spans="2:16" ht="12.75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2:16" ht="12.75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2:16" ht="12.75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2:16" ht="12.75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2:16" ht="12.75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2:16" ht="12.75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2:16" ht="12.75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2:16" ht="12.75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2:16" ht="12.75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2:16" ht="13.5" thickBot="1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ht="12.75">
      <c r="A48" s="412">
        <v>3</v>
      </c>
      <c r="B48" s="83"/>
      <c r="C48" s="83"/>
      <c r="D48" s="141"/>
      <c r="E48" s="418" t="s">
        <v>49</v>
      </c>
      <c r="F48" s="419"/>
      <c r="G48" s="419" t="s">
        <v>50</v>
      </c>
      <c r="H48" s="419"/>
      <c r="I48" s="88" t="s">
        <v>465</v>
      </c>
      <c r="J48" s="419" t="s">
        <v>43</v>
      </c>
      <c r="K48" s="419"/>
      <c r="L48" s="89" t="s">
        <v>468</v>
      </c>
      <c r="M48" s="83"/>
      <c r="N48" s="83"/>
      <c r="O48" s="83"/>
      <c r="P48" s="83"/>
    </row>
    <row r="49" spans="1:16" ht="16.5" thickBot="1">
      <c r="A49" s="413"/>
      <c r="B49" s="83"/>
      <c r="C49" s="83"/>
      <c r="D49" s="142"/>
      <c r="E49" s="414" t="s">
        <v>140</v>
      </c>
      <c r="F49" s="415"/>
      <c r="G49" s="415"/>
      <c r="H49" s="415"/>
      <c r="I49" s="415"/>
      <c r="J49" s="415"/>
      <c r="K49" s="415"/>
      <c r="L49" s="417"/>
      <c r="M49" s="83"/>
      <c r="N49" s="83"/>
      <c r="O49" s="83"/>
      <c r="P49" s="83"/>
    </row>
    <row r="50" spans="2:16" ht="13.5" thickBot="1">
      <c r="B50" s="92" t="s">
        <v>111</v>
      </c>
      <c r="C50" s="93" t="s">
        <v>112</v>
      </c>
      <c r="D50" s="94" t="s">
        <v>113</v>
      </c>
      <c r="E50" s="95" t="s">
        <v>114</v>
      </c>
      <c r="F50" s="95" t="s">
        <v>115</v>
      </c>
      <c r="G50" s="95" t="s">
        <v>116</v>
      </c>
      <c r="H50" s="96" t="s">
        <v>117</v>
      </c>
      <c r="I50" s="75"/>
      <c r="J50" s="92" t="s">
        <v>111</v>
      </c>
      <c r="K50" s="93" t="s">
        <v>118</v>
      </c>
      <c r="L50" s="94" t="s">
        <v>113</v>
      </c>
      <c r="M50" s="95" t="s">
        <v>114</v>
      </c>
      <c r="N50" s="95" t="s">
        <v>115</v>
      </c>
      <c r="O50" s="95" t="s">
        <v>116</v>
      </c>
      <c r="P50" s="96" t="s">
        <v>117</v>
      </c>
    </row>
    <row r="51" spans="2:16" ht="25.5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304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305</v>
      </c>
    </row>
    <row r="52" spans="2:16" ht="12.75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301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302</v>
      </c>
    </row>
    <row r="53" spans="2:16" ht="25.5">
      <c r="B53" s="163">
        <v>3</v>
      </c>
      <c r="C53" s="168">
        <f aca="true" t="shared" si="4" ref="C53:C90">38248-1204+B53*28</f>
        <v>37128</v>
      </c>
      <c r="D53" s="20" t="s">
        <v>7</v>
      </c>
      <c r="E53" s="9"/>
      <c r="F53" s="9"/>
      <c r="G53" s="9"/>
      <c r="H53" s="29" t="s">
        <v>303</v>
      </c>
      <c r="I53" s="6"/>
      <c r="J53" s="168">
        <v>3</v>
      </c>
      <c r="K53" s="168">
        <f aca="true" t="shared" si="5" ref="K53:K90">38248+56+J53*28</f>
        <v>38388</v>
      </c>
      <c r="L53" s="20" t="s">
        <v>7</v>
      </c>
      <c r="M53" s="46"/>
      <c r="N53" s="46"/>
      <c r="O53" s="46"/>
      <c r="P53" s="264" t="s">
        <v>303</v>
      </c>
    </row>
    <row r="54" spans="2:16" ht="12.75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2:16" ht="12.75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2:16" ht="25.5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561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561</v>
      </c>
    </row>
    <row r="57" spans="2:16" ht="38.25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758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759</v>
      </c>
    </row>
    <row r="58" spans="2:16" ht="38.25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625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626</v>
      </c>
    </row>
    <row r="59" spans="2:16" ht="38.25" customHeight="1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957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958</v>
      </c>
    </row>
    <row r="60" spans="2:16" ht="25.5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698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699</v>
      </c>
    </row>
    <row r="61" spans="2:16" ht="12.75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375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383</v>
      </c>
    </row>
    <row r="62" spans="2:16" ht="25.5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684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685</v>
      </c>
    </row>
    <row r="63" spans="2:16" ht="12.75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507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507</v>
      </c>
    </row>
    <row r="64" spans="2:16" ht="12.75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602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603</v>
      </c>
    </row>
    <row r="65" spans="2:16" ht="25.5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562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563</v>
      </c>
    </row>
    <row r="66" spans="2:16" ht="99.75" customHeight="1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564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565</v>
      </c>
    </row>
    <row r="67" spans="2:16" ht="69.75" customHeight="1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777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778</v>
      </c>
    </row>
    <row r="68" spans="2:16" ht="76.5" customHeight="1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667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668</v>
      </c>
    </row>
    <row r="69" spans="2:16" ht="32.25" customHeight="1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827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828</v>
      </c>
    </row>
    <row r="70" spans="2:16" ht="113.25" customHeight="1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702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703</v>
      </c>
    </row>
    <row r="71" spans="2:16" ht="12.75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ht="12.75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ht="12.75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ht="12.75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ht="12.75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ht="12.75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ht="12.75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ht="12.75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ht="12.75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ht="12.75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2:16" ht="12.75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2:16" ht="12.75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2:16" ht="12.75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2:16" ht="12.75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2:16" ht="12.75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2:16" ht="12.75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2:16" ht="12.75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2:16" ht="12.75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2:16" ht="12.75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2:16" ht="13.5" thickBot="1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ht="12.75">
      <c r="A91" s="412">
        <v>4</v>
      </c>
      <c r="B91" s="83"/>
      <c r="C91" s="83"/>
      <c r="D91" s="141"/>
      <c r="E91" s="418" t="s">
        <v>51</v>
      </c>
      <c r="F91" s="419"/>
      <c r="G91" s="419" t="s">
        <v>52</v>
      </c>
      <c r="H91" s="419"/>
      <c r="I91" s="88" t="s">
        <v>465</v>
      </c>
      <c r="J91" s="419" t="s">
        <v>43</v>
      </c>
      <c r="K91" s="419"/>
      <c r="L91" s="89" t="s">
        <v>469</v>
      </c>
      <c r="M91" s="83"/>
      <c r="N91" s="83"/>
      <c r="O91" s="83"/>
      <c r="P91" s="83"/>
    </row>
    <row r="92" spans="1:16" ht="16.5" thickBot="1">
      <c r="A92" s="413"/>
      <c r="B92" s="83"/>
      <c r="C92" s="83"/>
      <c r="D92" s="142"/>
      <c r="E92" s="414" t="s">
        <v>144</v>
      </c>
      <c r="F92" s="415"/>
      <c r="G92" s="415"/>
      <c r="H92" s="415"/>
      <c r="I92" s="415"/>
      <c r="J92" s="415"/>
      <c r="K92" s="415"/>
      <c r="L92" s="417"/>
      <c r="M92" s="83"/>
      <c r="N92" s="83"/>
      <c r="O92" s="83"/>
      <c r="P92" s="83"/>
    </row>
    <row r="93" spans="2:16" ht="13.5" thickBot="1">
      <c r="B93" s="92" t="s">
        <v>111</v>
      </c>
      <c r="C93" s="93" t="s">
        <v>112</v>
      </c>
      <c r="D93" s="94" t="s">
        <v>113</v>
      </c>
      <c r="E93" s="95" t="s">
        <v>114</v>
      </c>
      <c r="F93" s="95" t="s">
        <v>115</v>
      </c>
      <c r="G93" s="95" t="s">
        <v>116</v>
      </c>
      <c r="H93" s="96" t="s">
        <v>117</v>
      </c>
      <c r="I93" s="75"/>
      <c r="J93" s="92" t="s">
        <v>111</v>
      </c>
      <c r="K93" s="93" t="s">
        <v>118</v>
      </c>
      <c r="L93" s="94" t="s">
        <v>113</v>
      </c>
      <c r="M93" s="95" t="s">
        <v>114</v>
      </c>
      <c r="N93" s="95" t="s">
        <v>115</v>
      </c>
      <c r="O93" s="95" t="s">
        <v>116</v>
      </c>
      <c r="P93" s="96" t="s">
        <v>117</v>
      </c>
    </row>
    <row r="94" spans="2:16" ht="181.5" customHeight="1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300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300</v>
      </c>
    </row>
    <row r="95" spans="2:16" ht="12.75">
      <c r="B95" s="227">
        <v>2</v>
      </c>
      <c r="C95" s="230">
        <f aca="true" t="shared" si="6" ref="C95:C158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2:16" ht="12.75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aca="true" t="shared" si="7" ref="K96:K159">38248+63+J96*14</f>
        <v>38353</v>
      </c>
      <c r="L96" s="20"/>
      <c r="M96" s="46"/>
      <c r="N96" s="46"/>
      <c r="O96" s="46"/>
      <c r="P96" s="300"/>
    </row>
    <row r="97" spans="2:16" ht="12.75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ht="12.75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ht="12.75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ht="12.75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ht="12.75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ht="12.75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ht="12.75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ht="12.75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ht="12.75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754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755</v>
      </c>
    </row>
    <row r="107" spans="2:16" ht="12.75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664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664</v>
      </c>
    </row>
    <row r="108" spans="2:16" ht="25.5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637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638</v>
      </c>
    </row>
    <row r="109" spans="2:16" ht="42.75" customHeight="1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497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497</v>
      </c>
    </row>
    <row r="110" spans="2:16" ht="25.5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855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855</v>
      </c>
    </row>
    <row r="111" spans="2:16" ht="12.75">
      <c r="B111" s="227">
        <v>18</v>
      </c>
      <c r="C111" s="230">
        <f t="shared" si="6"/>
        <v>37303</v>
      </c>
      <c r="D111" s="17" t="s">
        <v>7</v>
      </c>
      <c r="E111" s="9"/>
      <c r="F111" s="9"/>
      <c r="G111" s="9"/>
      <c r="H111" s="50" t="s">
        <v>963</v>
      </c>
      <c r="I111" s="6"/>
      <c r="J111" s="230">
        <v>18</v>
      </c>
      <c r="K111" s="230">
        <f t="shared" si="7"/>
        <v>38563</v>
      </c>
      <c r="L111" s="17" t="s">
        <v>7</v>
      </c>
      <c r="M111" s="46"/>
      <c r="N111" s="46"/>
      <c r="O111" s="46"/>
      <c r="P111" s="263" t="s">
        <v>964</v>
      </c>
    </row>
    <row r="112" spans="2:16" ht="12.75">
      <c r="B112" s="227">
        <v>19</v>
      </c>
      <c r="C112" s="230">
        <f t="shared" si="6"/>
        <v>37317</v>
      </c>
      <c r="D112" s="17"/>
      <c r="E112" s="9"/>
      <c r="F112" s="9"/>
      <c r="G112" s="9"/>
      <c r="H112" s="3"/>
      <c r="I112" s="6"/>
      <c r="J112" s="230">
        <v>19</v>
      </c>
      <c r="K112" s="230">
        <f t="shared" si="7"/>
        <v>38577</v>
      </c>
      <c r="L112" s="17"/>
      <c r="M112" s="46"/>
      <c r="N112" s="46"/>
      <c r="O112" s="46"/>
      <c r="P112" s="3"/>
    </row>
    <row r="113" spans="2:16" ht="12.75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ht="12.75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ht="12.75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ht="12.75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ht="12.75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ht="12.75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278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278</v>
      </c>
    </row>
    <row r="119" spans="2:16" ht="12.75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ht="12.75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ht="12.75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553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553</v>
      </c>
    </row>
    <row r="122" spans="2:16" ht="12.75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592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592</v>
      </c>
    </row>
    <row r="123" spans="2:16" ht="12.75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ht="12.75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374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374</v>
      </c>
    </row>
    <row r="125" spans="2:16" ht="12.75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ht="12.75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269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269</v>
      </c>
    </row>
    <row r="127" spans="2:16" ht="12.75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ht="12.75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665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666</v>
      </c>
    </row>
    <row r="129" spans="2:16" ht="63" customHeight="1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633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633</v>
      </c>
    </row>
    <row r="130" spans="2:16" ht="25.5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550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551</v>
      </c>
    </row>
    <row r="131" spans="2:16" ht="48.75" customHeight="1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334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335</v>
      </c>
    </row>
    <row r="132" spans="2:16" ht="35.25" customHeight="1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689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689</v>
      </c>
    </row>
    <row r="133" spans="2:16" ht="53.25" customHeight="1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336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337</v>
      </c>
    </row>
    <row r="134" spans="2:16" ht="12.75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ht="12.75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ht="12.75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ht="12.75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ht="12.75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ht="12.75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ht="12.75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ht="12.75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ht="12.75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ht="12.75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ht="12.75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ht="12.75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ht="12.75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ht="12.75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ht="12.75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ht="12.75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ht="12.75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ht="12.75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ht="12.75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ht="12.75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ht="12.75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ht="12.75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ht="12.75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ht="12.75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ht="12.75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ht="12.75">
      <c r="B159" s="227">
        <v>66</v>
      </c>
      <c r="C159" s="230">
        <f aca="true" t="shared" si="8" ref="C159:C173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ht="12.75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aca="true" t="shared" si="9" ref="K160:K173">38248+63+J160*14</f>
        <v>39249</v>
      </c>
      <c r="L160" s="20"/>
      <c r="M160" s="46"/>
      <c r="N160" s="46"/>
      <c r="O160" s="46"/>
      <c r="P160" s="300"/>
    </row>
    <row r="161" spans="2:16" ht="12.75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2:16" ht="12.75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2:16" ht="12.75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2:16" ht="12.75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2:16" ht="12.75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2:16" ht="12.75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2:16" ht="12.75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2:16" ht="12.75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2:16" ht="12.75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2:16" ht="12.75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2:16" ht="12.75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2:16" ht="12.75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2:16" ht="13.5" thickBot="1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ht="12.75">
      <c r="A174" s="412">
        <v>5</v>
      </c>
      <c r="B174" s="83"/>
      <c r="C174" s="83"/>
      <c r="D174" s="141"/>
      <c r="E174" s="418" t="s">
        <v>53</v>
      </c>
      <c r="F174" s="419"/>
      <c r="G174" s="419" t="s">
        <v>54</v>
      </c>
      <c r="H174" s="419"/>
      <c r="I174" s="88" t="s">
        <v>465</v>
      </c>
      <c r="J174" s="419" t="s">
        <v>43</v>
      </c>
      <c r="K174" s="419"/>
      <c r="L174" s="89" t="s">
        <v>470</v>
      </c>
      <c r="M174" s="83"/>
      <c r="N174" s="83"/>
      <c r="O174" s="83"/>
      <c r="P174" s="83"/>
    </row>
    <row r="175" spans="1:16" ht="16.5" thickBot="1">
      <c r="A175" s="413"/>
      <c r="B175" s="83"/>
      <c r="C175" s="83"/>
      <c r="D175" s="142"/>
      <c r="E175" s="414" t="s">
        <v>147</v>
      </c>
      <c r="F175" s="415"/>
      <c r="G175" s="415"/>
      <c r="H175" s="415"/>
      <c r="I175" s="415"/>
      <c r="J175" s="415"/>
      <c r="K175" s="415"/>
      <c r="L175" s="417"/>
      <c r="M175" s="83"/>
      <c r="N175" s="83"/>
      <c r="O175" s="83"/>
      <c r="P175" s="83"/>
    </row>
    <row r="176" spans="2:16" ht="13.5" thickBot="1">
      <c r="B176" s="92" t="s">
        <v>111</v>
      </c>
      <c r="C176" s="93" t="s">
        <v>112</v>
      </c>
      <c r="D176" s="94" t="s">
        <v>113</v>
      </c>
      <c r="E176" s="95" t="s">
        <v>114</v>
      </c>
      <c r="F176" s="95" t="s">
        <v>115</v>
      </c>
      <c r="G176" s="95" t="s">
        <v>116</v>
      </c>
      <c r="H176" s="96" t="s">
        <v>117</v>
      </c>
      <c r="I176" s="75"/>
      <c r="J176" s="92" t="s">
        <v>111</v>
      </c>
      <c r="K176" s="93" t="s">
        <v>118</v>
      </c>
      <c r="L176" s="94" t="s">
        <v>113</v>
      </c>
      <c r="M176" s="95" t="s">
        <v>114</v>
      </c>
      <c r="N176" s="95" t="s">
        <v>115</v>
      </c>
      <c r="O176" s="95" t="s">
        <v>116</v>
      </c>
      <c r="P176" s="96" t="s">
        <v>117</v>
      </c>
    </row>
    <row r="177" spans="2:16" ht="12.75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ht="12.75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ht="12.75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ht="12.75">
      <c r="B180" s="227">
        <v>4</v>
      </c>
      <c r="C180" s="230">
        <f aca="true" t="shared" si="10" ref="C180:C243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aca="true" t="shared" si="11" ref="K180:K243">K179+7</f>
        <v>38342.5</v>
      </c>
      <c r="L180" s="20"/>
      <c r="M180" s="46"/>
      <c r="N180" s="46"/>
      <c r="O180" s="46"/>
      <c r="P180" s="300"/>
    </row>
    <row r="181" spans="2:16" ht="12.75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ht="12.75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ht="12.75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ht="12.75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ht="12.75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2:16" ht="15.75" customHeight="1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2:16" ht="18.75" customHeight="1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2:16" ht="18" customHeight="1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2:16" ht="14.25" customHeight="1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2:16" ht="15.75" customHeight="1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2:16" ht="15.75" customHeight="1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2:16" ht="18.75" customHeight="1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2:16" ht="21" customHeight="1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2:16" ht="16.5" customHeight="1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310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311</v>
      </c>
    </row>
    <row r="202" spans="1:17" ht="234" customHeight="1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757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756</v>
      </c>
      <c r="Q202" s="23"/>
    </row>
    <row r="203" spans="1:17" ht="293.25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716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717</v>
      </c>
      <c r="Q203" s="23"/>
    </row>
    <row r="204" spans="2:16" ht="10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636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636</v>
      </c>
    </row>
    <row r="205" spans="1:17" ht="69" customHeight="1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681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680</v>
      </c>
      <c r="Q205" s="23"/>
    </row>
    <row r="206" spans="1:17" ht="63.75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559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560</v>
      </c>
      <c r="Q206" s="23"/>
    </row>
    <row r="207" spans="2:16" ht="51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353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354</v>
      </c>
    </row>
    <row r="208" spans="2:16" ht="12.75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312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312</v>
      </c>
    </row>
    <row r="209" spans="2:16" ht="12.75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ht="12.75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ht="12.75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ht="12.75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ht="12.75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ht="12.75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ht="12.75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ht="12.75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ht="12.75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ht="12.75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ht="12.75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ht="12.75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ht="12.75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ht="12.75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ht="12.75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ht="12.75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ht="12.75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ht="12.75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ht="12.75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ht="12.75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ht="12.75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ht="12.75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ht="12.75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ht="12.75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ht="12.75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ht="12.75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ht="12.75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ht="12.75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ht="12.75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ht="12.75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ht="12.75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ht="12.75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2:16" ht="12.75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2:16" ht="12.75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2:16" ht="12.75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355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355</v>
      </c>
    </row>
    <row r="244" spans="2:16" ht="12.75">
      <c r="B244" s="227">
        <v>68</v>
      </c>
      <c r="C244" s="230">
        <f aca="true" t="shared" si="12" ref="C244:C307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aca="true" t="shared" si="13" ref="K244:K307">K243+7</f>
        <v>38790.5</v>
      </c>
      <c r="L244" s="20"/>
      <c r="M244" s="46"/>
      <c r="N244" s="46"/>
      <c r="O244" s="46"/>
      <c r="P244" s="300"/>
    </row>
    <row r="245" spans="2:16" ht="12.75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2:16" ht="12.75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2:16" ht="12.75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488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489</v>
      </c>
    </row>
    <row r="248" spans="2:16" ht="12.75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2:16" ht="25.5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377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378</v>
      </c>
    </row>
    <row r="250" spans="1:17" ht="156.75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729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730</v>
      </c>
      <c r="Q250" s="23"/>
    </row>
    <row r="251" spans="1:17" ht="114.75" customHeight="1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540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541</v>
      </c>
      <c r="Q251" s="23"/>
    </row>
    <row r="252" spans="1:17" ht="38.25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521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522</v>
      </c>
      <c r="Q252" s="23"/>
    </row>
    <row r="253" spans="1:17" ht="25.5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825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826</v>
      </c>
      <c r="Q253" s="23"/>
    </row>
    <row r="254" spans="2:16" ht="38.25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671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672</v>
      </c>
    </row>
    <row r="255" spans="2:16" ht="12.75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2:16" ht="12.75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ht="12.75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ht="12.75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ht="12.75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ht="12.75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ht="12.75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ht="12.75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ht="12.75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ht="12.75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ht="12.75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ht="12.75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ht="12.75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ht="12.75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ht="12.75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ht="12.75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ht="12.75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ht="12.75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ht="12.75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ht="12.75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ht="12.75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ht="12.75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ht="12.75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ht="12.75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ht="12.75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ht="12.75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ht="12.75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ht="12.75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ht="12.75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ht="12.75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ht="12.75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ht="12.75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ht="12.75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ht="12.75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ht="12.75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ht="12.75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ht="12.75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ht="12.75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ht="12.75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ht="12.75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ht="12.75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ht="12.75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ht="12.75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ht="12.75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ht="12.75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ht="12.75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ht="12.75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ht="12.75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ht="12.75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ht="12.75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ht="12.75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ht="12.75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ht="12.75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ht="12.75">
      <c r="B308" s="227">
        <v>132</v>
      </c>
      <c r="C308" s="230">
        <f aca="true" t="shared" si="14" ref="C308:C336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aca="true" t="shared" si="15" ref="K308:K336">K307+7</f>
        <v>39238.5</v>
      </c>
      <c r="L308" s="20"/>
      <c r="M308" s="46"/>
      <c r="N308" s="46"/>
      <c r="O308" s="46"/>
      <c r="P308" s="300"/>
    </row>
    <row r="309" spans="2:16" ht="12.75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ht="12.75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ht="12.75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ht="12.75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339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340</v>
      </c>
    </row>
    <row r="313" spans="2:16" ht="12.75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ht="12.75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ht="12.75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ht="12.75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ht="12.75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ht="12.75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ht="12.75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ht="12.75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ht="12.75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ht="12.75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ht="12.75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ht="12.75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ht="12.75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ht="12.75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ht="12.75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ht="12.75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ht="12.75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ht="12.75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ht="12.75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ht="12.75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ht="12.75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ht="12.75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ht="12.75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ht="12.75">
      <c r="A337" s="412">
        <v>6</v>
      </c>
      <c r="B337" s="83"/>
      <c r="C337" s="83"/>
      <c r="D337" s="141"/>
      <c r="E337" s="418" t="s">
        <v>55</v>
      </c>
      <c r="F337" s="419"/>
      <c r="G337" s="419" t="s">
        <v>56</v>
      </c>
      <c r="H337" s="419"/>
      <c r="I337" s="88" t="s">
        <v>465</v>
      </c>
      <c r="J337" s="419" t="s">
        <v>43</v>
      </c>
      <c r="K337" s="419"/>
      <c r="L337" s="89" t="s">
        <v>471</v>
      </c>
      <c r="M337" s="83"/>
      <c r="N337" s="83"/>
      <c r="O337" s="83"/>
      <c r="P337" s="83"/>
    </row>
    <row r="338" spans="1:16" ht="16.5" thickBot="1">
      <c r="A338" s="413"/>
      <c r="B338" s="83"/>
      <c r="C338" s="83"/>
      <c r="D338" s="142"/>
      <c r="E338" s="414" t="s">
        <v>150</v>
      </c>
      <c r="F338" s="415"/>
      <c r="G338" s="415"/>
      <c r="H338" s="415"/>
      <c r="I338" s="415"/>
      <c r="J338" s="415"/>
      <c r="K338" s="415"/>
      <c r="L338" s="417"/>
      <c r="M338" s="83"/>
      <c r="N338" s="83"/>
      <c r="O338" s="83"/>
      <c r="P338" s="83"/>
    </row>
    <row r="339" spans="2:16" ht="13.5" thickBot="1">
      <c r="B339" s="92" t="s">
        <v>111</v>
      </c>
      <c r="C339" s="93" t="s">
        <v>112</v>
      </c>
      <c r="D339" s="94" t="s">
        <v>113</v>
      </c>
      <c r="E339" s="95" t="s">
        <v>114</v>
      </c>
      <c r="F339" s="95" t="s">
        <v>115</v>
      </c>
      <c r="G339" s="95" t="s">
        <v>116</v>
      </c>
      <c r="H339" s="96" t="s">
        <v>117</v>
      </c>
      <c r="I339" s="75"/>
      <c r="J339" s="92" t="s">
        <v>111</v>
      </c>
      <c r="K339" s="93" t="s">
        <v>118</v>
      </c>
      <c r="L339" s="94" t="s">
        <v>113</v>
      </c>
      <c r="M339" s="95" t="s">
        <v>114</v>
      </c>
      <c r="N339" s="95" t="s">
        <v>115</v>
      </c>
      <c r="O339" s="95" t="s">
        <v>116</v>
      </c>
      <c r="P339" s="96" t="s">
        <v>117</v>
      </c>
    </row>
    <row r="340" spans="2:16" ht="12.75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2:16" ht="12.75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2:16" ht="12.75">
      <c r="B342" s="227">
        <v>3</v>
      </c>
      <c r="C342" s="230">
        <f aca="true" t="shared" si="16" ref="C342:C405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aca="true" t="shared" si="17" ref="K342:K405">38248+68.25+J342*3.5</f>
        <v>38326.75</v>
      </c>
      <c r="L342" s="20"/>
      <c r="M342" s="46"/>
      <c r="N342" s="46"/>
      <c r="O342" s="46"/>
      <c r="P342" s="300"/>
    </row>
    <row r="343" spans="2:16" ht="12.75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2:16" ht="12.75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2:16" ht="12.75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2:16" ht="12.75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2:16" ht="12.75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2:16" ht="12.75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2:16" ht="12.75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2:16" ht="12.75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2:16" ht="12.75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2:16" ht="12.75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ht="12.75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ht="12.75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ht="12.75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ht="12.75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ht="12.75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ht="12.75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ht="12.75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ht="12.75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ht="12.75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ht="12.75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ht="12.75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ht="12.75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ht="12.75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ht="12.75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ht="12.75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ht="12.75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ht="12.75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ht="12.75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ht="12.75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ht="12.75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ht="12.75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ht="12.75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ht="12.75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ht="12.75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ht="12.75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ht="12.75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ht="12.75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ht="12.75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ht="12.75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ht="12.75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ht="12.75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ht="12.75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ht="12.75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ht="12.75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ht="12.75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ht="12.75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ht="12.75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ht="12.75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ht="12.75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ht="12.75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ht="12.75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ht="12.75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ht="12.75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ht="12.75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ht="12.75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ht="12.75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ht="12.75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ht="12.75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ht="12.75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ht="12.75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ht="12.75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ht="12.75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ht="12.75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ht="12.75">
      <c r="B406" s="227">
        <v>67</v>
      </c>
      <c r="C406" s="230">
        <f aca="true" t="shared" si="18" ref="C406:C469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aca="true" t="shared" si="19" ref="K406:K469">38248+68.25+J406*3.5</f>
        <v>38550.75</v>
      </c>
      <c r="L406" s="20"/>
      <c r="M406" s="46"/>
      <c r="N406" s="46"/>
      <c r="O406" s="46"/>
      <c r="P406" s="300"/>
    </row>
    <row r="407" spans="2:16" ht="12.75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ht="12.75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ht="12.75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ht="12.75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ht="12.75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ht="12.75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ht="12.75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ht="12.75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ht="12.75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ht="12.75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ht="12.75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ht="12.75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ht="12.75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ht="12.75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ht="12.75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ht="12.75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ht="12.75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ht="12.75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ht="12.75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ht="12.75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ht="12.75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ht="12.75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ht="12.75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ht="12.75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ht="12.75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ht="12.75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ht="12.75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ht="12.75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ht="12.75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ht="12.75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ht="12.75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317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317</v>
      </c>
    </row>
    <row r="438" spans="2:16" ht="12.75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318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318</v>
      </c>
    </row>
    <row r="439" spans="2:16" ht="12.75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307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307</v>
      </c>
    </row>
    <row r="440" spans="2:16" ht="12.75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ht="12.75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ht="12.75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ht="12.75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ht="12.75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ht="12.75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ht="12.75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ht="12.75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ht="12.75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ht="12.75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ht="12.75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ht="12.75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ht="12.75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ht="12.75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ht="12.75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ht="12.75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ht="12.75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ht="12.75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ht="12.75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ht="12.75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ht="12.75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ht="12.75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ht="12.75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ht="12.75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ht="12.75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ht="12.75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ht="12.75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ht="12.75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ht="12.75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ht="12.75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ht="12.75">
      <c r="B470" s="227">
        <v>131</v>
      </c>
      <c r="C470" s="230">
        <f aca="true" t="shared" si="20" ref="C470:C533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aca="true" t="shared" si="21" ref="K470:K533">38248+68.25+J470*3.5</f>
        <v>38774.75</v>
      </c>
      <c r="L470" s="20"/>
      <c r="M470" s="46"/>
      <c r="N470" s="46"/>
      <c r="O470" s="46"/>
      <c r="P470" s="300"/>
    </row>
    <row r="471" spans="2:16" ht="12.75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ht="12.75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ht="12.75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ht="12.75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ht="12.75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ht="12.75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ht="12.75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ht="12.75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ht="12.75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ht="12.75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ht="12.75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316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316</v>
      </c>
    </row>
    <row r="482" spans="2:16" ht="12.75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ht="12.75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ht="12.75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ht="12.75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ht="12.75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ht="12.75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ht="12.75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ht="12.75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ht="12.75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ht="12.75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ht="12.75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ht="12.75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ht="12.75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ht="12.75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ht="12.75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ht="12.75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ht="12.75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ht="12.75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ht="12.75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ht="12.75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ht="12.75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ht="12.75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ht="12.75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ht="12.75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ht="12.75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ht="12.75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ht="12.75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ht="12.75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ht="12.75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ht="12.75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ht="12.75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ht="12.75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ht="12.75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ht="12.75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ht="12.75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ht="12.75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ht="12.75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ht="12.75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ht="12.75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ht="12.75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ht="12.75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ht="12.75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ht="12.75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ht="12.75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ht="12.75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ht="12.75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ht="12.75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ht="12.75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ht="12.75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ht="12.75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ht="12.75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ht="12.75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ht="12.75">
      <c r="B534" s="227">
        <v>195</v>
      </c>
      <c r="C534" s="230">
        <f aca="true" t="shared" si="22" ref="C534:C597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aca="true" t="shared" si="23" ref="K534:K597">38248+68.25+J534*3.5</f>
        <v>38998.75</v>
      </c>
      <c r="L534" s="20"/>
      <c r="M534" s="46"/>
      <c r="N534" s="46"/>
      <c r="O534" s="46"/>
      <c r="P534" s="300"/>
    </row>
    <row r="535" spans="2:16" ht="12.75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ht="12.75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ht="12.75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ht="12.75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ht="12.75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ht="12.75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ht="12.75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ht="12.75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ht="12.75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ht="12.75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ht="12.75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ht="12.75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ht="12.75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ht="12.75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ht="12.75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ht="12.75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ht="12.75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ht="12.75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ht="12.75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ht="12.75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ht="12.75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ht="12.75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ht="12.75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ht="12.75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ht="12.75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ht="12.75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ht="12.75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ht="12.75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ht="12.75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ht="12.75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ht="12.75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ht="12.75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ht="12.75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ht="12.75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ht="12.75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ht="12.75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ht="12.75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ht="12.75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ht="12.75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ht="12.75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ht="12.75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ht="12.75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ht="12.75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ht="12.75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ht="12.75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ht="12.75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ht="12.75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ht="12.75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ht="12.75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ht="12.75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ht="12.75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ht="12.75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ht="12.75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ht="12.75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ht="12.75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ht="12.75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ht="12.75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ht="12.75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ht="12.75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ht="12.75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ht="12.75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ht="12.75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ht="12.75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ht="12.75">
      <c r="B598" s="227">
        <v>259</v>
      </c>
      <c r="C598" s="230">
        <f aca="true" t="shared" si="24" ref="C598:C659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aca="true" t="shared" si="25" ref="K598:K659">38248+68.25+J598*3.5</f>
        <v>39222.75</v>
      </c>
      <c r="L598" s="20"/>
      <c r="M598" s="46"/>
      <c r="N598" s="46"/>
      <c r="O598" s="46"/>
      <c r="P598" s="300"/>
    </row>
    <row r="599" spans="2:16" ht="12.75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ht="12.75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ht="12.75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ht="12.75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ht="12.75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ht="12.75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ht="12.75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ht="12.75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ht="12.75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ht="12.75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ht="12.75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ht="12.75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ht="12.75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ht="12.75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ht="12.75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ht="12.75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ht="12.75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ht="12.75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ht="12.75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ht="12.75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ht="12.75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ht="12.75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ht="12.75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ht="12.75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ht="12.75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ht="12.75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ht="12.75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ht="12.75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ht="12.75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ht="12.75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ht="12.75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ht="12.75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ht="12.75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ht="12.75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ht="12.75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ht="12.75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ht="12.75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ht="12.75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ht="12.75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ht="12.75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ht="12.75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ht="12.75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ht="12.75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ht="12.75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ht="12.75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ht="12.75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ht="12.75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ht="12.75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ht="12.75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ht="12.75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ht="12.75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ht="12.75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ht="12.75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ht="12.75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ht="12.75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ht="12.75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ht="12.75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ht="12.75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ht="12.75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ht="12.75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4:12" ht="12.75">
      <c r="D660" s="19"/>
      <c r="L660" s="19"/>
    </row>
    <row r="661" spans="4:12" ht="12.75">
      <c r="D661" s="19"/>
      <c r="L661" s="19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workbookViewId="0" topLeftCell="A1">
      <selection activeCell="M16" sqref="M16"/>
    </sheetView>
  </sheetViews>
  <sheetFormatPr defaultColWidth="9.140625" defaultRowHeight="12.75"/>
  <cols>
    <col min="2" max="2" width="17.140625" style="0" customWidth="1"/>
    <col min="3" max="3" width="18.421875" style="0" customWidth="1"/>
    <col min="4" max="4" width="21.7109375" style="0" customWidth="1"/>
    <col min="5" max="5" width="20.8515625" style="0" customWidth="1"/>
    <col min="6" max="6" width="26.8515625" style="0" customWidth="1"/>
    <col min="7" max="7" width="31.8515625" style="0" customWidth="1"/>
    <col min="8" max="8" width="26.28125" style="0" customWidth="1"/>
  </cols>
  <sheetData>
    <row r="4" ht="13.5" thickBot="1"/>
    <row r="5" spans="2:8" ht="15.75">
      <c r="B5" s="108"/>
      <c r="C5" s="152"/>
      <c r="D5" s="313"/>
      <c r="E5" s="314"/>
      <c r="F5" s="109"/>
      <c r="G5" s="109"/>
      <c r="H5" s="315"/>
    </row>
    <row r="6" spans="2:8" ht="15.75">
      <c r="B6" s="155"/>
      <c r="C6" s="450" t="s">
        <v>455</v>
      </c>
      <c r="D6" s="446"/>
      <c r="E6" s="446"/>
      <c r="F6" s="446"/>
      <c r="G6" s="451"/>
      <c r="H6" s="316"/>
    </row>
    <row r="7" spans="2:8" ht="12.75">
      <c r="B7" s="155"/>
      <c r="C7" s="452" t="s">
        <v>472</v>
      </c>
      <c r="D7" s="453"/>
      <c r="E7" s="453"/>
      <c r="F7" s="453"/>
      <c r="G7" s="454"/>
      <c r="H7" s="316"/>
    </row>
    <row r="8" spans="2:8" ht="12.75">
      <c r="B8" s="155"/>
      <c r="C8" s="455" t="s">
        <v>456</v>
      </c>
      <c r="D8" s="456"/>
      <c r="E8" s="456"/>
      <c r="F8" s="456"/>
      <c r="G8" s="457"/>
      <c r="H8" s="316"/>
    </row>
    <row r="9" spans="2:8" ht="12.75">
      <c r="B9" s="155"/>
      <c r="C9" s="458" t="s">
        <v>260</v>
      </c>
      <c r="D9" s="448"/>
      <c r="E9" s="448"/>
      <c r="F9" s="448"/>
      <c r="G9" s="459"/>
      <c r="H9" s="316"/>
    </row>
    <row r="10" spans="2:8" ht="16.5" thickBot="1">
      <c r="B10" s="317"/>
      <c r="C10" s="318"/>
      <c r="D10" s="319"/>
      <c r="E10" s="159"/>
      <c r="F10" s="159"/>
      <c r="G10" s="159"/>
      <c r="H10" s="320"/>
    </row>
    <row r="11" spans="1:8" ht="33.75">
      <c r="A11" s="412">
        <v>1</v>
      </c>
      <c r="B11" s="322"/>
      <c r="C11" s="460" t="s">
        <v>473</v>
      </c>
      <c r="D11" s="461"/>
      <c r="E11" s="462" t="s">
        <v>474</v>
      </c>
      <c r="F11" s="462"/>
      <c r="G11" s="321" t="s">
        <v>262</v>
      </c>
      <c r="H11" s="323" t="s">
        <v>475</v>
      </c>
    </row>
    <row r="12" spans="1:8" ht="16.5" thickBot="1">
      <c r="A12" s="413"/>
      <c r="B12" s="463" t="s">
        <v>261</v>
      </c>
      <c r="C12" s="464"/>
      <c r="D12" s="464"/>
      <c r="E12" s="464"/>
      <c r="F12" s="464"/>
      <c r="G12" s="464"/>
      <c r="H12" s="465"/>
    </row>
    <row r="13" spans="2:8" ht="13.5" thickBot="1">
      <c r="B13" s="92" t="s">
        <v>111</v>
      </c>
      <c r="C13" s="93" t="s">
        <v>112</v>
      </c>
      <c r="D13" s="94" t="s">
        <v>113</v>
      </c>
      <c r="E13" s="95" t="s">
        <v>114</v>
      </c>
      <c r="F13" s="95" t="s">
        <v>115</v>
      </c>
      <c r="G13" s="95" t="s">
        <v>116</v>
      </c>
      <c r="H13" s="96" t="s">
        <v>117</v>
      </c>
    </row>
    <row r="14" spans="2:8" ht="12.75">
      <c r="B14" s="324">
        <v>1</v>
      </c>
      <c r="C14" s="325">
        <f>56950+100</f>
        <v>57050</v>
      </c>
      <c r="D14" s="66"/>
      <c r="E14" s="100"/>
      <c r="F14" s="100"/>
      <c r="G14" s="100"/>
      <c r="H14" s="212"/>
    </row>
    <row r="15" spans="2:8" ht="12.75">
      <c r="B15" s="326">
        <v>2</v>
      </c>
      <c r="C15" s="327">
        <f aca="true" t="shared" si="0" ref="C15:C33">C14+100</f>
        <v>57150</v>
      </c>
      <c r="D15" s="17"/>
      <c r="E15" s="9"/>
      <c r="F15" s="9"/>
      <c r="G15" s="9"/>
      <c r="H15" s="113"/>
    </row>
    <row r="16" spans="2:8" ht="12.75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356</v>
      </c>
    </row>
    <row r="18" spans="2:8" ht="12.75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ht="12.75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ht="12.75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ht="12.75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ht="12.75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ht="12.75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ht="12.75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ht="12.75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ht="12.75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ht="12.75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ht="12.75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ht="12.75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ht="12.75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ht="12.75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ht="12.75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2:8" ht="13.5" thickBot="1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>
      <c r="A34" s="412">
        <v>2</v>
      </c>
      <c r="B34" s="322"/>
      <c r="C34" s="460" t="s">
        <v>476</v>
      </c>
      <c r="D34" s="461"/>
      <c r="E34" s="462" t="s">
        <v>474</v>
      </c>
      <c r="F34" s="462"/>
      <c r="G34" s="321" t="s">
        <v>477</v>
      </c>
      <c r="H34" s="323" t="s">
        <v>475</v>
      </c>
    </row>
    <row r="35" spans="1:8" ht="16.5" thickBot="1">
      <c r="A35" s="413"/>
      <c r="B35" s="463" t="s">
        <v>263</v>
      </c>
      <c r="C35" s="464"/>
      <c r="D35" s="464"/>
      <c r="E35" s="464"/>
      <c r="F35" s="464"/>
      <c r="G35" s="464"/>
      <c r="H35" s="465"/>
    </row>
    <row r="36" spans="2:8" ht="13.5" thickBot="1">
      <c r="B36" s="92" t="s">
        <v>111</v>
      </c>
      <c r="C36" s="93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</row>
    <row r="37" spans="2:8" ht="12.75">
      <c r="B37" s="324">
        <v>1</v>
      </c>
      <c r="C37" s="325">
        <f>56950+25+50*1</f>
        <v>57025</v>
      </c>
      <c r="D37" s="66"/>
      <c r="E37" s="100"/>
      <c r="F37" s="100"/>
      <c r="G37" s="100"/>
      <c r="H37" s="212"/>
    </row>
    <row r="38" spans="2:8" ht="12.75">
      <c r="B38" s="326">
        <v>2</v>
      </c>
      <c r="C38" s="327">
        <f aca="true" t="shared" si="1" ref="C38:C76">C37+50</f>
        <v>57075</v>
      </c>
      <c r="D38" s="17"/>
      <c r="E38" s="9"/>
      <c r="F38" s="9"/>
      <c r="G38" s="9"/>
      <c r="H38" s="113"/>
    </row>
    <row r="39" spans="2:8" ht="12.75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2:8" ht="12.75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2:8" ht="12.75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2:8" ht="12.75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2:8" ht="12.75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2:8" ht="12.75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2:8" ht="12.75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2:8" ht="12.75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2:8" ht="12.75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2:8" ht="12.75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ht="12.75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ht="12.75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ht="12.75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ht="12.75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ht="12.75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ht="12.75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ht="12.75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ht="12.75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ht="12.75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ht="12.75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ht="12.75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ht="12.75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ht="12.75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ht="12.75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ht="12.75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ht="12.75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ht="12.75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ht="12.75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ht="12.75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ht="12.75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ht="12.75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ht="12.75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ht="12.75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ht="12.75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ht="12.75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ht="12.75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ht="12.75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9"/>
  <sheetViews>
    <sheetView zoomScale="91" zoomScaleNormal="91" workbookViewId="0" topLeftCell="A13">
      <selection activeCell="H18" sqref="H18"/>
    </sheetView>
  </sheetViews>
  <sheetFormatPr defaultColWidth="9.140625" defaultRowHeight="12.75"/>
  <cols>
    <col min="2" max="2" width="10.7109375" style="0" customWidth="1"/>
    <col min="3" max="3" width="19.57421875" style="0" customWidth="1"/>
    <col min="4" max="4" width="9.140625" style="19" customWidth="1"/>
    <col min="6" max="6" width="16.57421875" style="0" customWidth="1"/>
    <col min="7" max="7" width="11.7109375" style="0" customWidth="1"/>
    <col min="8" max="8" width="45.421875" style="0" customWidth="1"/>
    <col min="10" max="10" width="12.8515625" style="0" customWidth="1"/>
    <col min="11" max="11" width="18.421875" style="0" customWidth="1"/>
    <col min="12" max="12" width="10.57421875" style="0" customWidth="1"/>
    <col min="13" max="13" width="9.140625" style="19" customWidth="1"/>
    <col min="14" max="14" width="11.421875" style="0" customWidth="1"/>
    <col min="15" max="15" width="12.421875" style="0" customWidth="1"/>
    <col min="16" max="16" width="50.7109375" style="0" customWidth="1"/>
    <col min="17" max="17" width="31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0" t="s">
        <v>107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2:16" ht="15.75">
      <c r="B10" s="155"/>
      <c r="C10" s="84"/>
      <c r="D10" s="90"/>
      <c r="E10" s="423"/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2:16" ht="15">
      <c r="B11" s="157"/>
      <c r="C11" s="85"/>
      <c r="D11" s="86"/>
      <c r="E11" s="426" t="s">
        <v>418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2:16" ht="15.75" thickBot="1">
      <c r="B12" s="143"/>
      <c r="C12" s="103"/>
      <c r="D12" s="104"/>
      <c r="E12" s="429" t="s">
        <v>420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2">
        <v>1</v>
      </c>
      <c r="B15" s="83"/>
      <c r="C15" s="83"/>
      <c r="D15" s="141"/>
      <c r="E15" s="418" t="s">
        <v>120</v>
      </c>
      <c r="F15" s="419"/>
      <c r="G15" s="419" t="s">
        <v>120</v>
      </c>
      <c r="H15" s="419"/>
      <c r="I15" s="88"/>
      <c r="J15" s="419" t="s">
        <v>110</v>
      </c>
      <c r="K15" s="419"/>
      <c r="L15" s="89" t="s">
        <v>419</v>
      </c>
      <c r="M15" s="83"/>
      <c r="N15" s="83"/>
      <c r="O15" s="83"/>
      <c r="P15" s="83"/>
    </row>
    <row r="16" spans="1:16" ht="16.5" thickBot="1">
      <c r="A16" s="413"/>
      <c r="B16" s="83"/>
      <c r="C16" s="83"/>
      <c r="D16" s="142"/>
      <c r="E16" s="414" t="s">
        <v>119</v>
      </c>
      <c r="F16" s="415"/>
      <c r="G16" s="415"/>
      <c r="H16" s="415"/>
      <c r="I16" s="416"/>
      <c r="J16" s="415"/>
      <c r="K16" s="415"/>
      <c r="L16" s="417"/>
      <c r="M16" s="83"/>
      <c r="N16" s="83"/>
      <c r="O16" s="83"/>
      <c r="P16" s="83"/>
    </row>
    <row r="17" spans="2:16" ht="13.5" thickBot="1">
      <c r="B17" s="92" t="s">
        <v>111</v>
      </c>
      <c r="C17" s="93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96" t="s">
        <v>117</v>
      </c>
      <c r="I17" s="6"/>
      <c r="J17" s="92" t="s">
        <v>111</v>
      </c>
      <c r="K17" s="93" t="s">
        <v>112</v>
      </c>
      <c r="L17" s="94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18.75" customHeight="1">
      <c r="B18" s="144">
        <v>1</v>
      </c>
      <c r="C18" s="145">
        <v>5960.025</v>
      </c>
      <c r="D18" s="127" t="s">
        <v>7</v>
      </c>
      <c r="E18" s="146"/>
      <c r="F18" s="146"/>
      <c r="G18" s="146"/>
      <c r="H18" s="147" t="s">
        <v>949</v>
      </c>
      <c r="I18" s="75"/>
      <c r="J18" s="148">
        <v>1</v>
      </c>
      <c r="K18" s="145">
        <v>6212.065</v>
      </c>
      <c r="L18" s="127" t="s">
        <v>7</v>
      </c>
      <c r="M18" s="149"/>
      <c r="N18" s="149"/>
      <c r="O18" s="149"/>
      <c r="P18" s="150" t="s">
        <v>950</v>
      </c>
    </row>
    <row r="19" spans="2:16" ht="12.75">
      <c r="B19" s="120">
        <f aca="true" t="shared" si="0" ref="B19:B24">SUM(B18+1)</f>
        <v>2</v>
      </c>
      <c r="C19" s="121">
        <v>5989.675</v>
      </c>
      <c r="D19" s="20"/>
      <c r="E19" s="4"/>
      <c r="F19" s="4"/>
      <c r="G19" s="4"/>
      <c r="H19" s="9"/>
      <c r="I19" s="6"/>
      <c r="J19" s="125">
        <f aca="true" t="shared" si="1" ref="J19:J24">SUM(J18+1)</f>
        <v>2</v>
      </c>
      <c r="K19" s="121">
        <v>6241.715</v>
      </c>
      <c r="L19" s="20"/>
      <c r="M19" s="10"/>
      <c r="N19" s="10"/>
      <c r="O19" s="10"/>
      <c r="P19" s="113"/>
    </row>
    <row r="20" spans="2:16" ht="12.75">
      <c r="B20" s="120">
        <f t="shared" si="0"/>
        <v>3</v>
      </c>
      <c r="C20" s="121">
        <v>6019.325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6271.365</v>
      </c>
      <c r="L20" s="20"/>
      <c r="M20" s="10"/>
      <c r="N20" s="10"/>
      <c r="O20" s="10"/>
      <c r="P20" s="114"/>
    </row>
    <row r="21" spans="2:16" ht="12.75">
      <c r="B21" s="120">
        <f t="shared" si="0"/>
        <v>4</v>
      </c>
      <c r="C21" s="121">
        <v>6048.975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2:16" ht="12.75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2:16" ht="12.75">
      <c r="B23" s="120">
        <f t="shared" si="0"/>
        <v>6</v>
      </c>
      <c r="C23" s="121">
        <v>6108.275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6360.315</v>
      </c>
      <c r="L23" s="20"/>
      <c r="M23" s="10"/>
      <c r="N23" s="10"/>
      <c r="O23" s="10"/>
      <c r="P23" s="113"/>
    </row>
    <row r="24" spans="2:16" ht="25.5">
      <c r="B24" s="253">
        <f t="shared" si="0"/>
        <v>7</v>
      </c>
      <c r="C24" s="332">
        <v>6137.925</v>
      </c>
      <c r="D24" s="20" t="s">
        <v>7</v>
      </c>
      <c r="E24" s="4"/>
      <c r="F24" s="4"/>
      <c r="G24" s="4"/>
      <c r="H24" s="331" t="s">
        <v>904</v>
      </c>
      <c r="I24" s="6"/>
      <c r="J24" s="239">
        <f t="shared" si="1"/>
        <v>7</v>
      </c>
      <c r="K24" s="332">
        <v>6389.965</v>
      </c>
      <c r="L24" s="20" t="s">
        <v>7</v>
      </c>
      <c r="M24" s="10"/>
      <c r="N24" s="10"/>
      <c r="O24" s="10"/>
      <c r="P24" s="179" t="s">
        <v>905</v>
      </c>
    </row>
    <row r="25" spans="2:16" ht="15.75" thickBot="1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6" ht="12.75">
      <c r="A26" s="412">
        <v>2</v>
      </c>
      <c r="B26" s="83"/>
      <c r="C26" s="83"/>
      <c r="D26" s="141"/>
      <c r="E26" s="432" t="s">
        <v>109</v>
      </c>
      <c r="F26" s="433"/>
      <c r="G26" s="433" t="s">
        <v>109</v>
      </c>
      <c r="H26" s="433"/>
      <c r="I26" s="106"/>
      <c r="J26" s="433" t="s">
        <v>110</v>
      </c>
      <c r="K26" s="433"/>
      <c r="L26" s="107" t="s">
        <v>421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108</v>
      </c>
      <c r="F27" s="415"/>
      <c r="G27" s="415"/>
      <c r="H27" s="415"/>
      <c r="I27" s="416"/>
      <c r="J27" s="415"/>
      <c r="K27" s="415"/>
      <c r="L27" s="417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4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J28" s="92" t="s">
        <v>111</v>
      </c>
      <c r="K28" s="93" t="s">
        <v>112</v>
      </c>
      <c r="L28" s="94" t="s">
        <v>113</v>
      </c>
      <c r="M28" s="98" t="s">
        <v>114</v>
      </c>
      <c r="N28" s="98" t="s">
        <v>115</v>
      </c>
      <c r="O28" s="98" t="s">
        <v>116</v>
      </c>
      <c r="P28" s="99" t="s">
        <v>117</v>
      </c>
    </row>
    <row r="29" spans="2:18" s="23" customFormat="1" ht="144.75" customHeight="1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623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624</v>
      </c>
      <c r="Q29"/>
      <c r="R29"/>
    </row>
    <row r="30" spans="2:16" s="23" customFormat="1" ht="140.25" customHeight="1">
      <c r="B30" s="163">
        <f aca="true" t="shared" si="2" ref="B30:B35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760</v>
      </c>
      <c r="I30" s="133"/>
      <c r="J30" s="168">
        <f aca="true" t="shared" si="3" ref="J30:J36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761</v>
      </c>
    </row>
    <row r="31" spans="2:16" s="23" customFormat="1" ht="89.25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844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845</v>
      </c>
    </row>
    <row r="32" spans="2:16" s="23" customFormat="1" ht="153">
      <c r="B32" s="163">
        <f t="shared" si="2"/>
        <v>4</v>
      </c>
      <c r="C32" s="164">
        <v>6034.150000000001</v>
      </c>
      <c r="D32" s="20" t="s">
        <v>7</v>
      </c>
      <c r="E32" s="25"/>
      <c r="F32" s="25"/>
      <c r="G32" s="25"/>
      <c r="H32" s="24" t="s">
        <v>641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642</v>
      </c>
    </row>
    <row r="33" spans="2:16" s="23" customFormat="1" ht="63.75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574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574</v>
      </c>
    </row>
    <row r="34" spans="2:18" ht="104.25" customHeight="1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632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631</v>
      </c>
      <c r="Q34" s="23"/>
      <c r="R34" s="23"/>
    </row>
    <row r="35" spans="2:18" s="23" customFormat="1" ht="82.5" customHeight="1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606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607</v>
      </c>
      <c r="Q35"/>
      <c r="R35"/>
    </row>
    <row r="36" spans="2:18" ht="83.25" customHeight="1" thickBot="1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583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584</v>
      </c>
      <c r="Q36" s="23"/>
      <c r="R36" s="23"/>
    </row>
    <row r="37" spans="17:18" ht="17.25" customHeight="1">
      <c r="Q37" s="23"/>
      <c r="R37" s="23"/>
    </row>
    <row r="38" spans="17:18" ht="19.5" customHeight="1">
      <c r="Q38" s="23"/>
      <c r="R38" s="23"/>
    </row>
    <row r="39" ht="18.75" customHeight="1"/>
    <row r="47" spans="2:8" ht="12.75">
      <c r="B47" s="7"/>
      <c r="C47" s="5"/>
      <c r="D47" s="28"/>
      <c r="E47" s="11"/>
      <c r="F47" s="11"/>
      <c r="G47" s="11"/>
      <c r="H47" s="6"/>
    </row>
    <row r="48" spans="2:8" ht="12.75">
      <c r="B48" s="6"/>
      <c r="C48" s="6"/>
      <c r="D48" s="27"/>
      <c r="E48" s="6"/>
      <c r="F48" s="6"/>
      <c r="G48" s="6"/>
      <c r="H48" s="6"/>
    </row>
    <row r="49" spans="2:8" ht="12.75">
      <c r="B49" s="6"/>
      <c r="C49" s="6"/>
      <c r="D49" s="27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9"/>
  <sheetViews>
    <sheetView workbookViewId="0" topLeftCell="A37">
      <selection activeCell="J42" sqref="J42"/>
    </sheetView>
  </sheetViews>
  <sheetFormatPr defaultColWidth="9.140625" defaultRowHeight="12.75"/>
  <cols>
    <col min="2" max="2" width="11.421875" style="0" customWidth="1"/>
    <col min="3" max="3" width="20.28125" style="0" customWidth="1"/>
    <col min="4" max="4" width="9.140625" style="34" customWidth="1"/>
    <col min="5" max="5" width="14.8515625" style="0" customWidth="1"/>
    <col min="6" max="6" width="11.8515625" style="0" customWidth="1"/>
    <col min="7" max="7" width="10.57421875" style="0" customWidth="1"/>
    <col min="8" max="8" width="25.140625" style="0" customWidth="1"/>
    <col min="10" max="10" width="16.00390625" style="0" customWidth="1"/>
    <col min="11" max="11" width="20.421875" style="0" customWidth="1"/>
    <col min="12" max="12" width="13.00390625" style="34" customWidth="1"/>
    <col min="14" max="14" width="11.28125" style="0" customWidth="1"/>
    <col min="15" max="15" width="12.140625" style="0" customWidth="1"/>
    <col min="16" max="16" width="27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121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422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58</v>
      </c>
      <c r="F13" s="419"/>
      <c r="G13" s="419" t="s">
        <v>60</v>
      </c>
      <c r="H13" s="419"/>
      <c r="I13" s="88"/>
      <c r="J13" s="419" t="s">
        <v>125</v>
      </c>
      <c r="K13" s="419"/>
      <c r="L13" s="89" t="s">
        <v>59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57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2.75">
      <c r="B15" s="187" t="s">
        <v>111</v>
      </c>
      <c r="C15" s="188" t="s">
        <v>112</v>
      </c>
      <c r="D15" s="189" t="s">
        <v>113</v>
      </c>
      <c r="E15" s="190" t="s">
        <v>114</v>
      </c>
      <c r="F15" s="190" t="s">
        <v>115</v>
      </c>
      <c r="G15" s="190" t="s">
        <v>116</v>
      </c>
      <c r="H15" s="190" t="s">
        <v>117</v>
      </c>
      <c r="I15" s="75"/>
      <c r="J15" s="188" t="s">
        <v>111</v>
      </c>
      <c r="K15" s="188" t="s">
        <v>118</v>
      </c>
      <c r="L15" s="189" t="s">
        <v>113</v>
      </c>
      <c r="M15" s="190" t="s">
        <v>114</v>
      </c>
      <c r="N15" s="190" t="s">
        <v>115</v>
      </c>
      <c r="O15" s="190" t="s">
        <v>116</v>
      </c>
      <c r="P15" s="191" t="s">
        <v>117</v>
      </c>
    </row>
    <row r="16" spans="2:16" ht="51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aca="true" t="shared" si="0" ref="K16:K25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2:16" ht="45.75" customHeight="1">
      <c r="B17" s="192">
        <v>2</v>
      </c>
      <c r="C17" s="193">
        <f aca="true" t="shared" si="1" ref="C17:C25">6770-325+B17*30</f>
        <v>6505</v>
      </c>
      <c r="D17" s="20"/>
      <c r="E17" s="4"/>
      <c r="F17" s="4"/>
      <c r="G17" s="4"/>
      <c r="H17" s="205" t="s">
        <v>357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357</v>
      </c>
    </row>
    <row r="18" spans="2:16" ht="53.25" customHeight="1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2:16" ht="13.5" customHeight="1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2:16" ht="13.5" customHeight="1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2:16" ht="13.5" customHeight="1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2:16" ht="13.5" customHeight="1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2:16" ht="13.5" customHeight="1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2:16" ht="13.5" customHeight="1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2:16" ht="31.5" customHeight="1" thickBot="1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276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276</v>
      </c>
    </row>
    <row r="26" spans="1:16" ht="13.5" customHeight="1">
      <c r="A26" s="412">
        <v>2</v>
      </c>
      <c r="B26" s="83"/>
      <c r="C26" s="83"/>
      <c r="D26" s="141"/>
      <c r="E26" s="418" t="s">
        <v>123</v>
      </c>
      <c r="F26" s="419"/>
      <c r="G26" s="419" t="s">
        <v>124</v>
      </c>
      <c r="H26" s="419"/>
      <c r="I26" s="88"/>
      <c r="J26" s="419" t="s">
        <v>125</v>
      </c>
      <c r="K26" s="419"/>
      <c r="L26" s="89" t="s">
        <v>126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122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8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I28" s="75"/>
      <c r="J28" s="92" t="s">
        <v>111</v>
      </c>
      <c r="K28" s="93" t="s">
        <v>118</v>
      </c>
      <c r="L28" s="98" t="s">
        <v>113</v>
      </c>
      <c r="M28" s="95" t="s">
        <v>114</v>
      </c>
      <c r="N28" s="95" t="s">
        <v>115</v>
      </c>
      <c r="O28" s="95" t="s">
        <v>116</v>
      </c>
      <c r="P28" s="96" t="s">
        <v>117</v>
      </c>
    </row>
    <row r="29" spans="2:16" ht="63.75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582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582</v>
      </c>
    </row>
    <row r="30" spans="2:16" s="23" customFormat="1" ht="25.5">
      <c r="B30" s="209">
        <v>2</v>
      </c>
      <c r="C30" s="193">
        <f aca="true" t="shared" si="2" ref="C30:C36">C29+40</f>
        <v>6500</v>
      </c>
      <c r="D30" s="20" t="s">
        <v>7</v>
      </c>
      <c r="E30" s="25"/>
      <c r="F30" s="25"/>
      <c r="G30" s="25"/>
      <c r="H30" s="24" t="s">
        <v>575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575</v>
      </c>
    </row>
    <row r="31" spans="2:16" ht="51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480</v>
      </c>
      <c r="I31" s="6"/>
      <c r="J31" s="193">
        <v>3</v>
      </c>
      <c r="K31" s="193">
        <f aca="true" t="shared" si="3" ref="K31:K36">K30+40</f>
        <v>6880</v>
      </c>
      <c r="L31" s="20" t="s">
        <v>7</v>
      </c>
      <c r="M31" s="4"/>
      <c r="N31" s="4"/>
      <c r="O31" s="4"/>
      <c r="P31" s="177" t="s">
        <v>480</v>
      </c>
    </row>
    <row r="32" spans="2:16" s="23" customFormat="1" ht="25.5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569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570</v>
      </c>
    </row>
    <row r="33" spans="2:16" ht="51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130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131</v>
      </c>
    </row>
    <row r="34" spans="2:16" s="23" customFormat="1" ht="25.5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573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569</v>
      </c>
    </row>
    <row r="35" spans="2:16" ht="51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132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132</v>
      </c>
    </row>
    <row r="36" spans="2:16" s="23" customFormat="1" ht="26.25" thickBot="1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577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576</v>
      </c>
    </row>
    <row r="37" spans="1:16" ht="12.75">
      <c r="A37" s="412">
        <v>3</v>
      </c>
      <c r="B37" s="83"/>
      <c r="C37" s="83"/>
      <c r="D37" s="141"/>
      <c r="E37" s="418" t="s">
        <v>128</v>
      </c>
      <c r="F37" s="419"/>
      <c r="G37" s="419" t="s">
        <v>129</v>
      </c>
      <c r="H37" s="419"/>
      <c r="I37" s="88"/>
      <c r="J37" s="419" t="s">
        <v>125</v>
      </c>
      <c r="K37" s="419"/>
      <c r="L37" s="89" t="s">
        <v>423</v>
      </c>
      <c r="M37" s="83"/>
      <c r="N37" s="83"/>
      <c r="O37" s="83"/>
      <c r="P37" s="83"/>
    </row>
    <row r="38" spans="1:16" ht="16.5" thickBot="1">
      <c r="A38" s="413"/>
      <c r="B38" s="83"/>
      <c r="C38" s="83"/>
      <c r="D38" s="142"/>
      <c r="E38" s="414" t="s">
        <v>127</v>
      </c>
      <c r="F38" s="415"/>
      <c r="G38" s="415"/>
      <c r="H38" s="415"/>
      <c r="I38" s="415"/>
      <c r="J38" s="415"/>
      <c r="K38" s="415"/>
      <c r="L38" s="417"/>
      <c r="M38" s="83"/>
      <c r="N38" s="83"/>
      <c r="O38" s="83"/>
      <c r="P38" s="83"/>
    </row>
    <row r="39" spans="2:16" ht="13.5" thickBot="1">
      <c r="B39" s="92" t="s">
        <v>111</v>
      </c>
      <c r="C39" s="93" t="s">
        <v>112</v>
      </c>
      <c r="D39" s="98" t="s">
        <v>113</v>
      </c>
      <c r="E39" s="95" t="s">
        <v>114</v>
      </c>
      <c r="F39" s="95" t="s">
        <v>115</v>
      </c>
      <c r="G39" s="95" t="s">
        <v>116</v>
      </c>
      <c r="H39" s="96" t="s">
        <v>117</v>
      </c>
      <c r="I39" s="75"/>
      <c r="J39" s="92" t="s">
        <v>111</v>
      </c>
      <c r="K39" s="93" t="s">
        <v>118</v>
      </c>
      <c r="L39" s="98" t="s">
        <v>113</v>
      </c>
      <c r="M39" s="95" t="s">
        <v>114</v>
      </c>
      <c r="N39" s="95" t="s">
        <v>115</v>
      </c>
      <c r="O39" s="95" t="s">
        <v>116</v>
      </c>
      <c r="P39" s="96" t="s">
        <v>117</v>
      </c>
    </row>
    <row r="40" spans="2:16" ht="51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648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648</v>
      </c>
    </row>
    <row r="41" spans="2:16" ht="38.25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285</v>
      </c>
      <c r="I41" s="6"/>
      <c r="J41" s="193">
        <v>2</v>
      </c>
      <c r="K41" s="193">
        <f aca="true" t="shared" si="4" ref="K41:K50">6770+J41*30</f>
        <v>6830</v>
      </c>
      <c r="L41" s="20" t="s">
        <v>7</v>
      </c>
      <c r="M41" s="4"/>
      <c r="N41" s="4"/>
      <c r="O41" s="4"/>
      <c r="P41" s="179" t="s">
        <v>285</v>
      </c>
    </row>
    <row r="42" spans="2:16" ht="12.75">
      <c r="B42" s="209">
        <v>3</v>
      </c>
      <c r="C42" s="193">
        <f aca="true" t="shared" si="5" ref="C42:C50">6770-340+B42*30</f>
        <v>6520</v>
      </c>
      <c r="D42" s="20" t="s">
        <v>7</v>
      </c>
      <c r="E42" s="4"/>
      <c r="F42" s="4"/>
      <c r="G42" s="4"/>
      <c r="H42" s="29" t="s">
        <v>287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286</v>
      </c>
    </row>
    <row r="43" spans="2:16" ht="12.75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2:16" ht="26.25" customHeight="1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510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510</v>
      </c>
    </row>
    <row r="45" spans="2:16" ht="12.75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2:16" ht="12.75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2:16" ht="12.75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2:16" ht="25.5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678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679</v>
      </c>
    </row>
    <row r="49" spans="2:16" ht="12.75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2:16" ht="13.5" thickBot="1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ht="12.75">
      <c r="A51" s="412">
        <v>4</v>
      </c>
      <c r="B51" s="83"/>
      <c r="C51" s="83"/>
      <c r="D51" s="141"/>
      <c r="E51" s="418" t="s">
        <v>133</v>
      </c>
      <c r="F51" s="419"/>
      <c r="G51" s="419" t="s">
        <v>134</v>
      </c>
      <c r="H51" s="419"/>
      <c r="I51" s="88"/>
      <c r="J51" s="419" t="s">
        <v>125</v>
      </c>
      <c r="K51" s="419"/>
      <c r="L51" s="89" t="s">
        <v>424</v>
      </c>
      <c r="M51" s="83"/>
      <c r="N51" s="83"/>
      <c r="O51" s="83"/>
      <c r="P51" s="83"/>
    </row>
    <row r="52" spans="1:16" ht="16.5" thickBot="1">
      <c r="A52" s="413"/>
      <c r="B52" s="83"/>
      <c r="C52" s="83"/>
      <c r="D52" s="142"/>
      <c r="E52" s="414" t="s">
        <v>122</v>
      </c>
      <c r="F52" s="415"/>
      <c r="G52" s="415"/>
      <c r="H52" s="415"/>
      <c r="I52" s="415"/>
      <c r="J52" s="415"/>
      <c r="K52" s="415"/>
      <c r="L52" s="417"/>
      <c r="M52" s="83"/>
      <c r="N52" s="83"/>
      <c r="O52" s="83"/>
      <c r="P52" s="83"/>
    </row>
    <row r="53" spans="2:16" ht="13.5" thickBot="1">
      <c r="B53" s="92" t="s">
        <v>111</v>
      </c>
      <c r="C53" s="93" t="s">
        <v>112</v>
      </c>
      <c r="D53" s="98" t="s">
        <v>113</v>
      </c>
      <c r="E53" s="95" t="s">
        <v>114</v>
      </c>
      <c r="F53" s="95" t="s">
        <v>115</v>
      </c>
      <c r="G53" s="95" t="s">
        <v>116</v>
      </c>
      <c r="H53" s="96" t="s">
        <v>117</v>
      </c>
      <c r="I53" s="75"/>
      <c r="J53" s="92" t="s">
        <v>111</v>
      </c>
      <c r="K53" s="93" t="s">
        <v>118</v>
      </c>
      <c r="L53" s="98" t="s">
        <v>113</v>
      </c>
      <c r="M53" s="95" t="s">
        <v>114</v>
      </c>
      <c r="N53" s="95" t="s">
        <v>115</v>
      </c>
      <c r="O53" s="95" t="s">
        <v>116</v>
      </c>
      <c r="P53" s="96" t="s">
        <v>117</v>
      </c>
    </row>
    <row r="54" spans="2:16" ht="12.75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2:16" ht="12.75">
      <c r="B55" s="192">
        <v>2</v>
      </c>
      <c r="C55" s="196">
        <f aca="true" t="shared" si="6" ref="C55:C60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aca="true" t="shared" si="7" ref="K55:K60">6770+10+J55*40</f>
        <v>6860</v>
      </c>
      <c r="L55" s="20"/>
      <c r="M55" s="4"/>
      <c r="N55" s="4"/>
      <c r="O55" s="4"/>
      <c r="P55" s="113"/>
    </row>
    <row r="56" spans="2:16" ht="12.75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2:16" ht="12.75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2:16" ht="12.75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2:16" ht="12.75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2:16" ht="13.5" thickBot="1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ht="12.75">
      <c r="A61" s="412">
        <v>5</v>
      </c>
      <c r="B61" s="83"/>
      <c r="C61" s="83"/>
      <c r="D61" s="141"/>
      <c r="E61" s="418" t="s">
        <v>136</v>
      </c>
      <c r="F61" s="419"/>
      <c r="G61" s="419" t="s">
        <v>137</v>
      </c>
      <c r="H61" s="419"/>
      <c r="I61" s="88"/>
      <c r="J61" s="419" t="s">
        <v>125</v>
      </c>
      <c r="K61" s="419"/>
      <c r="L61" s="89" t="s">
        <v>138</v>
      </c>
      <c r="M61" s="83"/>
      <c r="N61" s="83"/>
      <c r="O61" s="83"/>
      <c r="P61" s="83"/>
    </row>
    <row r="62" spans="1:16" ht="16.5" thickBot="1">
      <c r="A62" s="413"/>
      <c r="B62" s="83"/>
      <c r="C62" s="83"/>
      <c r="D62" s="142"/>
      <c r="E62" s="414" t="s">
        <v>135</v>
      </c>
      <c r="F62" s="415"/>
      <c r="G62" s="415"/>
      <c r="H62" s="415"/>
      <c r="I62" s="415"/>
      <c r="J62" s="415"/>
      <c r="K62" s="415"/>
      <c r="L62" s="417"/>
      <c r="M62" s="83"/>
      <c r="N62" s="83"/>
      <c r="O62" s="83"/>
      <c r="P62" s="83"/>
    </row>
    <row r="63" spans="2:16" ht="13.5" thickBot="1">
      <c r="B63" s="92" t="s">
        <v>111</v>
      </c>
      <c r="C63" s="93" t="s">
        <v>112</v>
      </c>
      <c r="D63" s="98" t="s">
        <v>113</v>
      </c>
      <c r="E63" s="95" t="s">
        <v>114</v>
      </c>
      <c r="F63" s="95" t="s">
        <v>115</v>
      </c>
      <c r="G63" s="95" t="s">
        <v>116</v>
      </c>
      <c r="H63" s="96" t="s">
        <v>117</v>
      </c>
      <c r="I63" s="75"/>
      <c r="J63" s="92" t="s">
        <v>111</v>
      </c>
      <c r="K63" s="93" t="s">
        <v>118</v>
      </c>
      <c r="L63" s="98" t="s">
        <v>113</v>
      </c>
      <c r="M63" s="95" t="s">
        <v>114</v>
      </c>
      <c r="N63" s="95" t="s">
        <v>115</v>
      </c>
      <c r="O63" s="95" t="s">
        <v>116</v>
      </c>
      <c r="P63" s="96" t="s">
        <v>117</v>
      </c>
    </row>
    <row r="64" spans="2:16" ht="12.75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649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649</v>
      </c>
    </row>
    <row r="66" spans="2:16" ht="12.75">
      <c r="B66" s="192">
        <v>3</v>
      </c>
      <c r="C66" s="196">
        <f aca="true" t="shared" si="8" ref="C66:C79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aca="true" t="shared" si="9" ref="K66:K79">K65+20</f>
        <v>6820</v>
      </c>
      <c r="L66" s="20"/>
      <c r="M66" s="4"/>
      <c r="N66" s="4"/>
      <c r="O66" s="4"/>
      <c r="P66" s="113"/>
    </row>
    <row r="67" spans="2:16" s="23" customFormat="1" ht="42" customHeight="1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533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533</v>
      </c>
    </row>
    <row r="68" spans="2:16" ht="12.75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ht="12.75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652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652</v>
      </c>
    </row>
    <row r="70" spans="2:16" ht="12.75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650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650</v>
      </c>
    </row>
    <row r="72" spans="2:16" ht="12.75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ht="12.75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ht="12.75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ht="12.75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ht="12.75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280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280</v>
      </c>
    </row>
    <row r="78" spans="2:16" ht="12.75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90"/>
  <sheetViews>
    <sheetView zoomScale="84" zoomScaleNormal="84" workbookViewId="0" topLeftCell="D20">
      <selection activeCell="H23" sqref="H23"/>
    </sheetView>
  </sheetViews>
  <sheetFormatPr defaultColWidth="9.140625" defaultRowHeight="12.75"/>
  <cols>
    <col min="2" max="2" width="12.57421875" style="0" customWidth="1"/>
    <col min="3" max="3" width="18.7109375" style="0" customWidth="1"/>
    <col min="4" max="4" width="9.140625" style="19" customWidth="1"/>
    <col min="6" max="6" width="12.28125" style="0" customWidth="1"/>
    <col min="7" max="7" width="30.140625" style="0" customWidth="1"/>
    <col min="8" max="8" width="29.00390625" style="0" customWidth="1"/>
    <col min="9" max="9" width="11.57421875" style="0" customWidth="1"/>
    <col min="10" max="10" width="10.8515625" style="0" customWidth="1"/>
    <col min="11" max="11" width="19.7109375" style="0" customWidth="1"/>
    <col min="12" max="12" width="13.00390625" style="19" customWidth="1"/>
    <col min="14" max="14" width="11.8515625" style="0" customWidth="1"/>
    <col min="15" max="15" width="12.57421875" style="0" customWidth="1"/>
    <col min="16" max="16" width="29.281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139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141</v>
      </c>
      <c r="F13" s="419"/>
      <c r="G13" s="419" t="s">
        <v>14</v>
      </c>
      <c r="H13" s="419"/>
      <c r="I13" s="88"/>
      <c r="J13" s="419" t="s">
        <v>13</v>
      </c>
      <c r="K13" s="419"/>
      <c r="L13" s="89" t="s">
        <v>425</v>
      </c>
      <c r="M13" s="83"/>
      <c r="N13" s="83"/>
      <c r="O13" s="83"/>
      <c r="P13" s="83"/>
    </row>
    <row r="14" spans="1:16" ht="19.5" customHeight="1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7.25" customHeight="1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8" customHeight="1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544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544</v>
      </c>
    </row>
    <row r="17" spans="2:16" ht="153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900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901</v>
      </c>
    </row>
    <row r="18" spans="2:16" ht="29.25" customHeight="1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2:16" ht="18.75" customHeight="1" thickBot="1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ht="12.75">
      <c r="A20" s="412">
        <v>2</v>
      </c>
      <c r="B20" s="83"/>
      <c r="C20" s="83"/>
      <c r="D20" s="141"/>
      <c r="E20" s="418" t="s">
        <v>10</v>
      </c>
      <c r="F20" s="419"/>
      <c r="G20" s="419" t="s">
        <v>142</v>
      </c>
      <c r="H20" s="419"/>
      <c r="I20" s="88" t="s">
        <v>143</v>
      </c>
      <c r="J20" s="419" t="s">
        <v>13</v>
      </c>
      <c r="K20" s="419"/>
      <c r="L20" s="89" t="s">
        <v>426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6.5" customHeight="1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153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951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952</v>
      </c>
    </row>
    <row r="24" spans="1:16" s="23" customFormat="1" ht="189" customHeight="1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896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897</v>
      </c>
    </row>
    <row r="25" spans="1:16" ht="178.5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787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788</v>
      </c>
    </row>
    <row r="26" spans="1:16" s="23" customFormat="1" ht="89.25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764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763</v>
      </c>
    </row>
    <row r="27" spans="2:16" ht="64.5" thickBot="1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313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314</v>
      </c>
    </row>
    <row r="28" spans="1:16" ht="12.75">
      <c r="A28" s="412">
        <v>3</v>
      </c>
      <c r="B28" s="83"/>
      <c r="C28" s="83"/>
      <c r="D28" s="141"/>
      <c r="E28" s="418" t="s">
        <v>145</v>
      </c>
      <c r="F28" s="419"/>
      <c r="G28" s="419" t="s">
        <v>146</v>
      </c>
      <c r="H28" s="419"/>
      <c r="I28" s="88" t="s">
        <v>143</v>
      </c>
      <c r="J28" s="419" t="s">
        <v>13</v>
      </c>
      <c r="K28" s="419"/>
      <c r="L28" s="89" t="s">
        <v>427</v>
      </c>
      <c r="M28" s="83"/>
      <c r="N28" s="83"/>
      <c r="O28" s="83"/>
      <c r="P28" s="83"/>
    </row>
    <row r="29" spans="1:16" ht="16.5" thickBot="1">
      <c r="A29" s="413"/>
      <c r="B29" s="83"/>
      <c r="C29" s="83"/>
      <c r="D29" s="142"/>
      <c r="E29" s="414" t="s">
        <v>144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ht="25.5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2:16" s="23" customFormat="1" ht="25.5">
      <c r="B32" s="163">
        <v>2</v>
      </c>
      <c r="C32" s="168">
        <f aca="true" t="shared" si="0" ref="C32:C4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aca="true" t="shared" si="1" ref="K32:K40">SUM(K31+14)</f>
        <v>7303</v>
      </c>
      <c r="L32" s="20"/>
      <c r="M32" s="25"/>
      <c r="N32" s="25"/>
      <c r="O32" s="25"/>
      <c r="P32" s="180"/>
    </row>
    <row r="33" spans="1:16" s="23" customFormat="1" ht="12.75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2:16" ht="12.75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646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647</v>
      </c>
    </row>
    <row r="35" spans="1:16" ht="25.5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2:16" s="23" customFormat="1" ht="25.5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ht="12.75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2:16" ht="12.75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ht="12.75">
      <c r="A41" s="412">
        <v>4</v>
      </c>
      <c r="B41" s="83"/>
      <c r="C41" s="83"/>
      <c r="D41" s="141"/>
      <c r="E41" s="432" t="s">
        <v>148</v>
      </c>
      <c r="F41" s="433"/>
      <c r="G41" s="433" t="s">
        <v>149</v>
      </c>
      <c r="H41" s="433"/>
      <c r="I41" s="106" t="s">
        <v>143</v>
      </c>
      <c r="J41" s="433" t="s">
        <v>13</v>
      </c>
      <c r="K41" s="433"/>
      <c r="L41" s="107" t="s">
        <v>428</v>
      </c>
      <c r="M41" s="83"/>
      <c r="N41" s="83"/>
      <c r="O41" s="83"/>
      <c r="P41" s="83"/>
    </row>
    <row r="42" spans="1:16" ht="16.5" thickBot="1">
      <c r="A42" s="413"/>
      <c r="B42" s="83"/>
      <c r="C42" s="83"/>
      <c r="D42" s="142"/>
      <c r="E42" s="414" t="s">
        <v>147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12.75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2:16" ht="12.75">
      <c r="B45" s="227">
        <v>2</v>
      </c>
      <c r="C45" s="230">
        <f aca="true" t="shared" si="2" ref="C45:C63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aca="true" t="shared" si="3" ref="K45:K63">SUM(K44+7)</f>
        <v>7292.5</v>
      </c>
      <c r="L45" s="20"/>
      <c r="M45" s="4"/>
      <c r="N45" s="4"/>
      <c r="O45" s="4"/>
      <c r="P45" s="113"/>
    </row>
    <row r="46" spans="2:16" ht="12.75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2:16" ht="12.75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2:16" ht="12.75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2:16" ht="12.75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2:16" ht="12.75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2:16" ht="12.75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2:16" ht="12.75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2:16" ht="12.75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2:16" ht="12.75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2:16" ht="12.75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2:16" ht="12.75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2:16" ht="12.75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2:16" ht="12.75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2:16" ht="12.75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2:16" ht="12.75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2:16" ht="12.75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ht="12.75">
      <c r="A64" s="412">
        <v>5</v>
      </c>
      <c r="B64" s="83"/>
      <c r="C64" s="83"/>
      <c r="D64" s="141"/>
      <c r="E64" s="432" t="s">
        <v>151</v>
      </c>
      <c r="F64" s="433"/>
      <c r="G64" s="433" t="s">
        <v>152</v>
      </c>
      <c r="H64" s="433"/>
      <c r="I64" s="106" t="s">
        <v>143</v>
      </c>
      <c r="J64" s="433" t="s">
        <v>13</v>
      </c>
      <c r="K64" s="433"/>
      <c r="L64" s="107" t="s">
        <v>429</v>
      </c>
      <c r="M64" s="83"/>
      <c r="N64" s="83"/>
      <c r="O64" s="83"/>
      <c r="P64" s="83"/>
    </row>
    <row r="65" spans="1:16" ht="16.5" thickBot="1">
      <c r="A65" s="413"/>
      <c r="B65" s="83"/>
      <c r="C65" s="83"/>
      <c r="D65" s="142"/>
      <c r="E65" s="414" t="s">
        <v>150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478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478</v>
      </c>
    </row>
    <row r="71" spans="2:16" ht="12.75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2:16" ht="12.75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ht="12.75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ht="12.75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ht="12.75">
      <c r="A107" s="412">
        <v>6</v>
      </c>
      <c r="B107" s="83"/>
      <c r="C107" s="83"/>
      <c r="D107" s="141"/>
      <c r="E107" s="432" t="s">
        <v>154</v>
      </c>
      <c r="F107" s="433"/>
      <c r="G107" s="433" t="s">
        <v>155</v>
      </c>
      <c r="H107" s="433"/>
      <c r="I107" s="106" t="s">
        <v>143</v>
      </c>
      <c r="J107" s="433" t="s">
        <v>13</v>
      </c>
      <c r="K107" s="433"/>
      <c r="L107" s="107" t="s">
        <v>430</v>
      </c>
      <c r="M107" s="83"/>
      <c r="N107" s="83"/>
      <c r="O107" s="83"/>
      <c r="P107" s="83"/>
    </row>
    <row r="108" spans="1:16" ht="16.5" thickBot="1">
      <c r="A108" s="413"/>
      <c r="B108" s="83"/>
      <c r="C108" s="83"/>
      <c r="D108" s="142"/>
      <c r="E108" s="414" t="s">
        <v>153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84">
        <f aca="true" t="shared" si="5" ref="C111:C174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6" ref="K111:K174">SUM(K110+1.75)</f>
        <v>7284.625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84">
        <f aca="true" t="shared" si="7" ref="C175:C189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8" ref="K175:K189">SUM(K174+1.75)</f>
        <v>7396.625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11:12" ht="12.75">
      <c r="K190" s="19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8"/>
  <sheetViews>
    <sheetView workbookViewId="0" topLeftCell="I24">
      <selection activeCell="S24" sqref="S24"/>
    </sheetView>
  </sheetViews>
  <sheetFormatPr defaultColWidth="9.140625" defaultRowHeight="12.75"/>
  <cols>
    <col min="2" max="2" width="11.00390625" style="0" customWidth="1"/>
    <col min="3" max="3" width="20.421875" style="0" customWidth="1"/>
    <col min="4" max="4" width="9.140625" style="19" customWidth="1"/>
    <col min="6" max="6" width="11.57421875" style="0" customWidth="1"/>
    <col min="7" max="7" width="12.140625" style="0" customWidth="1"/>
    <col min="8" max="8" width="46.8515625" style="0" customWidth="1"/>
    <col min="9" max="9" width="13.8515625" style="0" customWidth="1"/>
    <col min="10" max="10" width="11.8515625" style="0" customWidth="1"/>
    <col min="11" max="11" width="20.00390625" style="0" customWidth="1"/>
    <col min="12" max="12" width="10.7109375" style="19" customWidth="1"/>
    <col min="14" max="14" width="12.421875" style="0" customWidth="1"/>
    <col min="15" max="15" width="11.8515625" style="0" customWidth="1"/>
    <col min="16" max="16" width="51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156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10</v>
      </c>
      <c r="F13" s="419"/>
      <c r="G13" s="419" t="s">
        <v>199</v>
      </c>
      <c r="H13" s="419"/>
      <c r="I13" s="88" t="s">
        <v>143</v>
      </c>
      <c r="J13" s="419" t="s">
        <v>157</v>
      </c>
      <c r="K13" s="419"/>
      <c r="L13" s="89" t="s">
        <v>425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02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943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944</v>
      </c>
    </row>
    <row r="17" spans="2:16" ht="12.75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898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899</v>
      </c>
    </row>
    <row r="18" spans="2:16" ht="25.5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858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859</v>
      </c>
    </row>
    <row r="19" spans="2:16" ht="46.5" customHeight="1" thickBot="1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915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916</v>
      </c>
    </row>
    <row r="20" spans="1:16" ht="12.75">
      <c r="A20" s="412">
        <v>2</v>
      </c>
      <c r="B20" s="83"/>
      <c r="C20" s="83"/>
      <c r="D20" s="141"/>
      <c r="E20" s="418" t="s">
        <v>141</v>
      </c>
      <c r="F20" s="419"/>
      <c r="G20" s="419" t="s">
        <v>142</v>
      </c>
      <c r="H20" s="419"/>
      <c r="I20" s="88" t="s">
        <v>143</v>
      </c>
      <c r="J20" s="419" t="s">
        <v>157</v>
      </c>
      <c r="K20" s="419"/>
      <c r="L20" s="89" t="s">
        <v>426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3.5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s="23" customFormat="1" ht="213.75" customHeight="1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902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903</v>
      </c>
    </row>
    <row r="24" spans="2:16" s="23" customFormat="1" ht="198.75" customHeight="1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955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956</v>
      </c>
    </row>
    <row r="25" spans="2:16" s="23" customFormat="1" ht="171.75" customHeight="1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850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851</v>
      </c>
    </row>
    <row r="26" spans="2:16" s="23" customFormat="1" ht="67.5" customHeight="1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705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706</v>
      </c>
    </row>
    <row r="27" spans="2:16" s="23" customFormat="1" ht="89.25" customHeight="1" thickBot="1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913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914</v>
      </c>
    </row>
    <row r="28" spans="1:16" ht="12.75">
      <c r="A28" s="412">
        <v>3</v>
      </c>
      <c r="B28" s="83"/>
      <c r="C28" s="83"/>
      <c r="D28" s="141"/>
      <c r="E28" s="418" t="s">
        <v>145</v>
      </c>
      <c r="F28" s="419"/>
      <c r="G28" s="419" t="s">
        <v>146</v>
      </c>
      <c r="H28" s="419"/>
      <c r="I28" s="88" t="s">
        <v>143</v>
      </c>
      <c r="J28" s="419" t="s">
        <v>157</v>
      </c>
      <c r="K28" s="419"/>
      <c r="L28" s="89" t="s">
        <v>427</v>
      </c>
      <c r="M28" s="83"/>
      <c r="N28" s="83"/>
      <c r="O28" s="83"/>
      <c r="P28" s="83"/>
    </row>
    <row r="29" spans="1:16" ht="16.5" customHeight="1" thickBot="1">
      <c r="A29" s="413"/>
      <c r="B29" s="83"/>
      <c r="C29" s="83"/>
      <c r="D29" s="142"/>
      <c r="E29" s="414" t="s">
        <v>144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2:16" s="23" customFormat="1" ht="148.5" customHeight="1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831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832</v>
      </c>
    </row>
    <row r="32" spans="2:16" s="23" customFormat="1" ht="102" customHeight="1">
      <c r="B32" s="220">
        <v>2</v>
      </c>
      <c r="C32" s="221">
        <f aca="true" t="shared" si="0" ref="C32:C40">SUM(C31+14)</f>
        <v>7449</v>
      </c>
      <c r="D32" s="66" t="s">
        <v>7</v>
      </c>
      <c r="E32" s="67"/>
      <c r="F32" s="67"/>
      <c r="G32" s="67"/>
      <c r="H32" s="68" t="s">
        <v>808</v>
      </c>
      <c r="I32" s="133"/>
      <c r="J32" s="221">
        <v>2</v>
      </c>
      <c r="K32" s="221">
        <f aca="true" t="shared" si="1" ref="K32:K40">SUM(K31+14)</f>
        <v>7603</v>
      </c>
      <c r="L32" s="66" t="s">
        <v>7</v>
      </c>
      <c r="M32" s="67"/>
      <c r="N32" s="67"/>
      <c r="O32" s="67"/>
      <c r="P32" s="178" t="s">
        <v>809</v>
      </c>
    </row>
    <row r="33" spans="2:16" s="23" customFormat="1" ht="210.75" customHeight="1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953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954</v>
      </c>
    </row>
    <row r="34" spans="2:16" s="23" customFormat="1" ht="106.5" customHeight="1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816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810</v>
      </c>
    </row>
    <row r="35" spans="2:16" s="23" customFormat="1" ht="138" customHeight="1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799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794</v>
      </c>
    </row>
    <row r="36" spans="2:16" ht="32.25" customHeight="1">
      <c r="B36" s="163">
        <v>6</v>
      </c>
      <c r="C36" s="168">
        <f t="shared" si="0"/>
        <v>7505</v>
      </c>
      <c r="D36" s="17"/>
      <c r="E36" s="9"/>
      <c r="F36" s="9"/>
      <c r="G36" s="9"/>
      <c r="H36" s="24"/>
      <c r="I36" s="6"/>
      <c r="J36" s="239">
        <v>6</v>
      </c>
      <c r="K36" s="168">
        <f t="shared" si="1"/>
        <v>7659</v>
      </c>
      <c r="L36" s="17"/>
      <c r="M36" s="9"/>
      <c r="N36" s="9"/>
      <c r="O36" s="9"/>
      <c r="P36" s="181"/>
    </row>
    <row r="37" spans="2:16" ht="22.5" customHeight="1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581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581</v>
      </c>
    </row>
    <row r="38" spans="2:16" ht="42.75" customHeight="1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712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713</v>
      </c>
    </row>
    <row r="39" spans="2:16" s="23" customFormat="1" ht="21.75" customHeight="1">
      <c r="B39" s="163">
        <v>9</v>
      </c>
      <c r="C39" s="168">
        <f>SUM(C38+14)</f>
        <v>7547</v>
      </c>
      <c r="D39" s="17" t="s">
        <v>7</v>
      </c>
      <c r="E39" s="22"/>
      <c r="F39" s="22"/>
      <c r="G39" s="22"/>
      <c r="H39" s="24" t="s">
        <v>431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2:16" s="23" customFormat="1" ht="20.25" customHeight="1" thickBot="1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385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432</v>
      </c>
    </row>
    <row r="41" spans="1:16" ht="12.75">
      <c r="A41" s="412">
        <v>4</v>
      </c>
      <c r="B41" s="83"/>
      <c r="C41" s="83"/>
      <c r="D41" s="141"/>
      <c r="E41" s="432" t="s">
        <v>148</v>
      </c>
      <c r="F41" s="433"/>
      <c r="G41" s="433" t="s">
        <v>158</v>
      </c>
      <c r="H41" s="433"/>
      <c r="I41" s="106" t="s">
        <v>143</v>
      </c>
      <c r="J41" s="433" t="s">
        <v>157</v>
      </c>
      <c r="K41" s="433"/>
      <c r="L41" s="107" t="s">
        <v>428</v>
      </c>
      <c r="M41" s="83"/>
      <c r="N41" s="83"/>
      <c r="O41" s="83"/>
      <c r="P41" s="83"/>
    </row>
    <row r="42" spans="1:16" ht="16.5" thickBot="1">
      <c r="A42" s="413"/>
      <c r="B42" s="83"/>
      <c r="C42" s="83"/>
      <c r="D42" s="142"/>
      <c r="E42" s="414" t="s">
        <v>147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43.5" customHeight="1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507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391</v>
      </c>
    </row>
    <row r="45" spans="2:16" ht="12.75">
      <c r="B45" s="163">
        <v>2</v>
      </c>
      <c r="C45" s="168">
        <f aca="true" t="shared" si="2" ref="C45:C63">SUM(C44+7)</f>
        <v>7438.5</v>
      </c>
      <c r="D45" s="20" t="s">
        <v>7</v>
      </c>
      <c r="E45" s="4"/>
      <c r="F45" s="4"/>
      <c r="G45" s="4"/>
      <c r="H45" s="29" t="s">
        <v>515</v>
      </c>
      <c r="I45" s="6"/>
      <c r="J45" s="168">
        <v>2</v>
      </c>
      <c r="K45" s="168">
        <f aca="true" t="shared" si="3" ref="K45:K63">SUM(K44+7)</f>
        <v>7592.5</v>
      </c>
      <c r="L45" s="20" t="s">
        <v>7</v>
      </c>
      <c r="M45" s="4"/>
      <c r="N45" s="4"/>
      <c r="O45" s="4"/>
      <c r="P45" s="179" t="s">
        <v>515</v>
      </c>
    </row>
    <row r="46" spans="2:16" ht="18" customHeight="1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762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762</v>
      </c>
    </row>
    <row r="47" spans="2:16" ht="12.75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492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493</v>
      </c>
    </row>
    <row r="48" spans="2:16" ht="25.5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612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613</v>
      </c>
    </row>
    <row r="49" spans="2:16" ht="12.75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653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653</v>
      </c>
    </row>
    <row r="50" spans="2:16" ht="20.25" customHeight="1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634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634</v>
      </c>
    </row>
    <row r="51" spans="2:16" ht="57.75" customHeight="1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707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707</v>
      </c>
    </row>
    <row r="52" spans="2:16" ht="12.75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264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264</v>
      </c>
    </row>
    <row r="53" spans="2:16" ht="12.75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384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384</v>
      </c>
    </row>
    <row r="54" spans="2:16" s="23" customFormat="1" ht="93.75" customHeight="1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528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392</v>
      </c>
    </row>
    <row r="55" spans="2:16" s="23" customFormat="1" ht="85.5" customHeight="1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513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529</v>
      </c>
    </row>
    <row r="56" spans="2:16" ht="12.75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392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392</v>
      </c>
    </row>
    <row r="57" spans="2:16" s="23" customFormat="1" ht="81" customHeight="1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530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531</v>
      </c>
    </row>
    <row r="58" spans="2:16" s="23" customFormat="1" ht="78" customHeight="1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532</v>
      </c>
    </row>
    <row r="59" spans="2:16" ht="12.75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2:16" ht="12.75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2:16" ht="12.75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ht="12.75">
      <c r="A64" s="412">
        <v>5</v>
      </c>
      <c r="B64" s="83"/>
      <c r="C64" s="83"/>
      <c r="D64" s="141"/>
      <c r="E64" s="432" t="s">
        <v>151</v>
      </c>
      <c r="F64" s="433"/>
      <c r="G64" s="433" t="s">
        <v>159</v>
      </c>
      <c r="H64" s="433"/>
      <c r="I64" s="106" t="s">
        <v>143</v>
      </c>
      <c r="J64" s="433" t="s">
        <v>157</v>
      </c>
      <c r="K64" s="433"/>
      <c r="L64" s="107" t="s">
        <v>429</v>
      </c>
      <c r="M64" s="83"/>
      <c r="N64" s="83"/>
      <c r="O64" s="83"/>
      <c r="P64" s="83"/>
    </row>
    <row r="65" spans="1:16" ht="16.5" thickBot="1">
      <c r="A65" s="413"/>
      <c r="B65" s="83"/>
      <c r="C65" s="83"/>
      <c r="D65" s="142"/>
      <c r="E65" s="414" t="s">
        <v>150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aca="true" t="shared" si="5" ref="K68:K106">SUM(K67+3.5)</f>
        <v>7587.25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2:16" ht="12.75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2:16" ht="12.75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ht="12.75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ht="12.75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ht="12.75">
      <c r="A107" s="412">
        <v>6</v>
      </c>
      <c r="B107" s="83"/>
      <c r="C107" s="83"/>
      <c r="D107" s="141"/>
      <c r="E107" s="432" t="s">
        <v>154</v>
      </c>
      <c r="F107" s="433"/>
      <c r="G107" s="433" t="s">
        <v>160</v>
      </c>
      <c r="H107" s="433"/>
      <c r="I107" s="106" t="s">
        <v>143</v>
      </c>
      <c r="J107" s="433" t="s">
        <v>157</v>
      </c>
      <c r="K107" s="433"/>
      <c r="L107" s="107" t="s">
        <v>430</v>
      </c>
      <c r="M107" s="83"/>
      <c r="N107" s="83"/>
      <c r="O107" s="83"/>
      <c r="P107" s="83"/>
    </row>
    <row r="108" spans="1:16" ht="16.5" thickBot="1">
      <c r="A108" s="413"/>
      <c r="B108" s="83"/>
      <c r="C108" s="83"/>
      <c r="D108" s="142"/>
      <c r="E108" s="414" t="s">
        <v>153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230">
        <f aca="true" t="shared" si="6" ref="C111:C174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7" ref="K111:K174">SUM(K110+1.75)</f>
        <v>7584.625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230">
        <f aca="true" t="shared" si="8" ref="C175:C189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9" ref="K175:K189">SUM(K174+1.75)</f>
        <v>7696.625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ht="12.75">
      <c r="B199" s="6"/>
      <c r="C199" s="6"/>
      <c r="D199" s="27"/>
      <c r="E199" s="6"/>
      <c r="F199" s="6"/>
      <c r="G199" s="6"/>
      <c r="H199" s="6"/>
    </row>
    <row r="200" spans="2:8" ht="12.75">
      <c r="B200" s="6"/>
      <c r="C200" s="6"/>
      <c r="D200" s="27"/>
      <c r="E200" s="6"/>
      <c r="F200" s="6"/>
      <c r="G200" s="6"/>
      <c r="H200" s="6"/>
    </row>
    <row r="201" spans="2:8" ht="12.75">
      <c r="B201" s="6"/>
      <c r="C201" s="6"/>
      <c r="D201" s="27"/>
      <c r="E201" s="6"/>
      <c r="F201" s="6"/>
      <c r="G201" s="6"/>
      <c r="H201" s="6"/>
    </row>
    <row r="202" spans="2:8" ht="12.75">
      <c r="B202" s="6"/>
      <c r="C202" s="6"/>
      <c r="D202" s="27"/>
      <c r="E202" s="6"/>
      <c r="F202" s="6"/>
      <c r="G202" s="6"/>
      <c r="H202" s="6"/>
    </row>
    <row r="203" spans="2:8" ht="12.75">
      <c r="B203" s="6"/>
      <c r="C203" s="6"/>
      <c r="D203" s="27"/>
      <c r="E203" s="6"/>
      <c r="F203" s="6"/>
      <c r="G203" s="6"/>
      <c r="H203" s="6"/>
    </row>
    <row r="204" spans="2:8" ht="12.75">
      <c r="B204" s="6"/>
      <c r="C204" s="6"/>
      <c r="D204" s="27"/>
      <c r="E204" s="6"/>
      <c r="F204" s="6"/>
      <c r="G204" s="6"/>
      <c r="H204" s="6"/>
    </row>
    <row r="205" spans="2:8" ht="12.75">
      <c r="B205" s="6"/>
      <c r="C205" s="6"/>
      <c r="D205" s="27"/>
      <c r="E205" s="6"/>
      <c r="F205" s="6"/>
      <c r="G205" s="6"/>
      <c r="H205" s="6"/>
    </row>
    <row r="206" spans="2:8" ht="12.75">
      <c r="B206" s="6"/>
      <c r="C206" s="6"/>
      <c r="D206" s="27"/>
      <c r="E206" s="6"/>
      <c r="F206" s="6"/>
      <c r="G206" s="6"/>
      <c r="H206" s="6"/>
    </row>
    <row r="207" spans="2:8" ht="12.75">
      <c r="B207" s="6"/>
      <c r="C207" s="6"/>
      <c r="D207" s="27"/>
      <c r="E207" s="6"/>
      <c r="F207" s="6"/>
      <c r="G207" s="6"/>
      <c r="H207" s="6"/>
    </row>
    <row r="208" spans="2:8" ht="12.75">
      <c r="B208" s="6"/>
      <c r="C208" s="6"/>
      <c r="D208" s="27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42"/>
  <sheetViews>
    <sheetView workbookViewId="0" topLeftCell="H13">
      <selection activeCell="P14" sqref="P14"/>
    </sheetView>
  </sheetViews>
  <sheetFormatPr defaultColWidth="9.140625" defaultRowHeight="12.75"/>
  <cols>
    <col min="2" max="2" width="11.57421875" style="0" customWidth="1"/>
    <col min="3" max="3" width="19.00390625" style="0" customWidth="1"/>
    <col min="4" max="4" width="9.140625" style="34" customWidth="1"/>
    <col min="6" max="6" width="12.140625" style="0" customWidth="1"/>
    <col min="7" max="7" width="11.57421875" style="0" customWidth="1"/>
    <col min="8" max="8" width="33.140625" style="0" customWidth="1"/>
    <col min="9" max="9" width="13.00390625" style="0" customWidth="1"/>
    <col min="10" max="10" width="11.28125" style="0" customWidth="1"/>
    <col min="11" max="11" width="19.00390625" style="0" customWidth="1"/>
    <col min="12" max="12" width="12.421875" style="34" customWidth="1"/>
    <col min="16" max="16" width="33.421875" style="0" customWidth="1"/>
  </cols>
  <sheetData>
    <row r="1" ht="12.75"/>
    <row r="2" ht="12.75"/>
    <row r="3" ht="13.5" thickBot="1"/>
    <row r="4" spans="2:16" ht="16.5" thickBot="1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2:16" ht="15.75">
      <c r="B5" s="155"/>
      <c r="C5" s="84"/>
      <c r="D5" s="90"/>
      <c r="E5" s="420" t="s">
        <v>161</v>
      </c>
      <c r="F5" s="421"/>
      <c r="G5" s="421"/>
      <c r="H5" s="421"/>
      <c r="I5" s="421"/>
      <c r="J5" s="421"/>
      <c r="K5" s="421"/>
      <c r="L5" s="422"/>
      <c r="M5" s="87"/>
      <c r="N5" s="84"/>
      <c r="O5" s="84"/>
      <c r="P5" s="156"/>
    </row>
    <row r="6" spans="2:16" ht="15.75">
      <c r="B6" s="155"/>
      <c r="C6" s="84"/>
      <c r="D6" s="90"/>
      <c r="E6" s="423"/>
      <c r="F6" s="424"/>
      <c r="G6" s="424"/>
      <c r="H6" s="424"/>
      <c r="I6" s="424"/>
      <c r="J6" s="424"/>
      <c r="K6" s="424"/>
      <c r="L6" s="425"/>
      <c r="M6" s="87"/>
      <c r="N6" s="84"/>
      <c r="O6" s="84"/>
      <c r="P6" s="156"/>
    </row>
    <row r="7" spans="2:16" ht="15">
      <c r="B7" s="157"/>
      <c r="C7" s="85"/>
      <c r="D7" s="86"/>
      <c r="E7" s="426" t="s">
        <v>418</v>
      </c>
      <c r="F7" s="427"/>
      <c r="G7" s="427"/>
      <c r="H7" s="427"/>
      <c r="I7" s="427"/>
      <c r="J7" s="427"/>
      <c r="K7" s="427"/>
      <c r="L7" s="428"/>
      <c r="M7" s="87"/>
      <c r="N7" s="84"/>
      <c r="O7" s="84"/>
      <c r="P7" s="156"/>
    </row>
    <row r="8" spans="2:16" ht="15.75" thickBot="1">
      <c r="B8" s="143"/>
      <c r="C8" s="103"/>
      <c r="D8" s="104"/>
      <c r="E8" s="429" t="s">
        <v>9</v>
      </c>
      <c r="F8" s="430"/>
      <c r="G8" s="430"/>
      <c r="H8" s="430"/>
      <c r="I8" s="430"/>
      <c r="J8" s="430"/>
      <c r="K8" s="430"/>
      <c r="L8" s="431"/>
      <c r="M8" s="97"/>
      <c r="N8" s="91"/>
      <c r="O8" s="91"/>
      <c r="P8" s="111"/>
    </row>
    <row r="9" spans="2:16" ht="1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2:16" ht="15" customHeight="1" thickBot="1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ht="12.75">
      <c r="A11" s="412">
        <v>1</v>
      </c>
      <c r="B11" s="83"/>
      <c r="C11" s="83"/>
      <c r="D11" s="141"/>
      <c r="E11" s="418" t="s">
        <v>608</v>
      </c>
      <c r="F11" s="419"/>
      <c r="G11" s="419" t="s">
        <v>609</v>
      </c>
      <c r="H11" s="419"/>
      <c r="I11" s="342" t="s">
        <v>165</v>
      </c>
      <c r="J11" s="419" t="s">
        <v>610</v>
      </c>
      <c r="K11" s="419"/>
      <c r="L11" s="89" t="s">
        <v>611</v>
      </c>
      <c r="M11" s="83"/>
      <c r="N11" s="83"/>
      <c r="O11" s="83"/>
      <c r="P11" s="83"/>
    </row>
    <row r="12" spans="1:16" ht="16.5" thickBot="1">
      <c r="A12" s="413"/>
      <c r="B12" s="83"/>
      <c r="C12" s="83"/>
      <c r="D12" s="142"/>
      <c r="E12" s="414" t="s">
        <v>209</v>
      </c>
      <c r="F12" s="415"/>
      <c r="G12" s="415"/>
      <c r="H12" s="415"/>
      <c r="I12" s="415"/>
      <c r="J12" s="415"/>
      <c r="K12" s="415"/>
      <c r="L12" s="417"/>
      <c r="M12" s="83"/>
      <c r="N12" s="83"/>
      <c r="O12" s="83"/>
      <c r="P12" s="83"/>
    </row>
    <row r="13" spans="2:16" ht="12.75">
      <c r="B13" s="350" t="s">
        <v>111</v>
      </c>
      <c r="C13" s="351" t="s">
        <v>112</v>
      </c>
      <c r="D13" s="352" t="s">
        <v>113</v>
      </c>
      <c r="E13" s="353" t="s">
        <v>114</v>
      </c>
      <c r="F13" s="353" t="s">
        <v>115</v>
      </c>
      <c r="G13" s="353" t="s">
        <v>116</v>
      </c>
      <c r="H13" s="354" t="s">
        <v>117</v>
      </c>
      <c r="I13" s="75"/>
      <c r="J13" s="350" t="s">
        <v>111</v>
      </c>
      <c r="K13" s="351" t="s">
        <v>118</v>
      </c>
      <c r="L13" s="352" t="s">
        <v>113</v>
      </c>
      <c r="M13" s="353" t="s">
        <v>114</v>
      </c>
      <c r="N13" s="353" t="s">
        <v>115</v>
      </c>
      <c r="O13" s="353" t="s">
        <v>116</v>
      </c>
      <c r="P13" s="330" t="s">
        <v>117</v>
      </c>
    </row>
    <row r="14" spans="2:16" s="343" customFormat="1" ht="63.75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942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942</v>
      </c>
    </row>
    <row r="15" spans="2:16" s="343" customFormat="1" ht="1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2:16" s="343" customFormat="1" ht="1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2:16" s="343" customFormat="1" ht="15.75" thickBot="1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6" ht="12.75">
      <c r="A18" s="412">
        <v>2</v>
      </c>
      <c r="B18" s="344"/>
      <c r="C18" s="345"/>
      <c r="D18" s="346"/>
      <c r="E18" s="418" t="s">
        <v>162</v>
      </c>
      <c r="F18" s="419"/>
      <c r="G18" s="419" t="s">
        <v>164</v>
      </c>
      <c r="H18" s="419"/>
      <c r="I18" s="342" t="s">
        <v>165</v>
      </c>
      <c r="J18" s="419" t="s">
        <v>163</v>
      </c>
      <c r="K18" s="419"/>
      <c r="L18" s="89" t="s">
        <v>427</v>
      </c>
      <c r="M18" s="83"/>
      <c r="N18" s="83"/>
      <c r="O18" s="83"/>
      <c r="P18" s="83"/>
    </row>
    <row r="19" spans="1:16" ht="16.5" thickBot="1">
      <c r="A19" s="413"/>
      <c r="B19" s="347"/>
      <c r="C19" s="348"/>
      <c r="D19" s="349"/>
      <c r="E19" s="434" t="s">
        <v>140</v>
      </c>
      <c r="F19" s="416"/>
      <c r="G19" s="416"/>
      <c r="H19" s="416"/>
      <c r="I19" s="416"/>
      <c r="J19" s="415"/>
      <c r="K19" s="415"/>
      <c r="L19" s="417"/>
      <c r="M19" s="83"/>
      <c r="N19" s="83"/>
      <c r="O19" s="83"/>
      <c r="P19" s="83"/>
    </row>
    <row r="20" spans="2:16" ht="13.5" thickBot="1">
      <c r="B20" s="92" t="s">
        <v>111</v>
      </c>
      <c r="C20" s="93" t="s">
        <v>112</v>
      </c>
      <c r="D20" s="98" t="s">
        <v>113</v>
      </c>
      <c r="E20" s="95" t="s">
        <v>114</v>
      </c>
      <c r="F20" s="95" t="s">
        <v>115</v>
      </c>
      <c r="G20" s="95" t="s">
        <v>116</v>
      </c>
      <c r="H20" s="96" t="s">
        <v>117</v>
      </c>
      <c r="I20" s="357"/>
      <c r="J20" s="92" t="s">
        <v>111</v>
      </c>
      <c r="K20" s="93" t="s">
        <v>118</v>
      </c>
      <c r="L20" s="99" t="s">
        <v>113</v>
      </c>
      <c r="M20" s="356" t="s">
        <v>114</v>
      </c>
      <c r="N20" s="95" t="s">
        <v>115</v>
      </c>
      <c r="O20" s="95" t="s">
        <v>116</v>
      </c>
      <c r="P20" s="96" t="s">
        <v>117</v>
      </c>
    </row>
    <row r="21" spans="2:16" s="23" customFormat="1" ht="112.5" customHeight="1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711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710</v>
      </c>
    </row>
    <row r="22" spans="2:16" s="23" customFormat="1" ht="218.25" customHeight="1">
      <c r="B22" s="163">
        <v>2</v>
      </c>
      <c r="C22" s="168">
        <f aca="true" t="shared" si="0" ref="C22:C30">8200-309+B22*28</f>
        <v>7947</v>
      </c>
      <c r="D22" s="20" t="s">
        <v>7</v>
      </c>
      <c r="E22" s="25"/>
      <c r="F22" s="25"/>
      <c r="G22" s="25"/>
      <c r="H22" s="24" t="s">
        <v>940</v>
      </c>
      <c r="I22" s="133"/>
      <c r="J22" s="168">
        <v>2</v>
      </c>
      <c r="K22" s="168">
        <f aca="true" t="shared" si="1" ref="K22:K30">8200+1+J22*28</f>
        <v>8257</v>
      </c>
      <c r="L22" s="20" t="s">
        <v>7</v>
      </c>
      <c r="M22" s="25"/>
      <c r="N22" s="25"/>
      <c r="O22" s="25"/>
      <c r="P22" s="134" t="s">
        <v>941</v>
      </c>
    </row>
    <row r="23" spans="2:16" ht="38.25" customHeight="1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708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709</v>
      </c>
    </row>
    <row r="24" spans="2:16" ht="125.25" customHeight="1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771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772</v>
      </c>
    </row>
    <row r="25" spans="2:16" s="23" customFormat="1" ht="94.5" customHeight="1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856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857</v>
      </c>
    </row>
    <row r="26" spans="2:16" s="23" customFormat="1" ht="56.25" customHeight="1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604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605</v>
      </c>
    </row>
    <row r="27" spans="2:16" ht="78" customHeight="1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765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766</v>
      </c>
    </row>
    <row r="28" spans="2:16" ht="63.75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773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774</v>
      </c>
    </row>
    <row r="29" spans="2:16" ht="64.5" customHeight="1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781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782</v>
      </c>
    </row>
    <row r="30" spans="2:19" s="23" customFormat="1" ht="74.25" customHeight="1" thickBot="1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769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770</v>
      </c>
      <c r="S30" s="71" t="s">
        <v>381</v>
      </c>
    </row>
    <row r="31" spans="1:16" ht="12.75">
      <c r="A31" s="412">
        <v>3</v>
      </c>
      <c r="B31" s="83"/>
      <c r="C31" s="83"/>
      <c r="D31" s="141"/>
      <c r="E31" s="418" t="s">
        <v>166</v>
      </c>
      <c r="F31" s="419"/>
      <c r="G31" s="419" t="s">
        <v>167</v>
      </c>
      <c r="H31" s="419"/>
      <c r="I31" s="88" t="s">
        <v>165</v>
      </c>
      <c r="J31" s="419" t="s">
        <v>163</v>
      </c>
      <c r="K31" s="419"/>
      <c r="L31" s="89" t="s">
        <v>428</v>
      </c>
      <c r="M31" s="83"/>
      <c r="N31" s="83"/>
      <c r="O31" s="83"/>
      <c r="P31" s="83"/>
    </row>
    <row r="32" spans="1:16" ht="16.5" thickBot="1">
      <c r="A32" s="413"/>
      <c r="B32" s="83"/>
      <c r="C32" s="83"/>
      <c r="D32" s="142"/>
      <c r="E32" s="414" t="s">
        <v>144</v>
      </c>
      <c r="F32" s="415"/>
      <c r="G32" s="415"/>
      <c r="H32" s="415"/>
      <c r="I32" s="415"/>
      <c r="J32" s="415"/>
      <c r="K32" s="415"/>
      <c r="L32" s="417"/>
      <c r="M32" s="83"/>
      <c r="N32" s="83"/>
      <c r="O32" s="83"/>
      <c r="P32" s="83"/>
    </row>
    <row r="33" spans="2:16" ht="13.5" thickBot="1">
      <c r="B33" s="92" t="s">
        <v>111</v>
      </c>
      <c r="C33" s="93" t="s">
        <v>112</v>
      </c>
      <c r="D33" s="98" t="s">
        <v>113</v>
      </c>
      <c r="E33" s="95" t="s">
        <v>114</v>
      </c>
      <c r="F33" s="95" t="s">
        <v>115</v>
      </c>
      <c r="G33" s="95" t="s">
        <v>116</v>
      </c>
      <c r="H33" s="96" t="s">
        <v>117</v>
      </c>
      <c r="I33" s="75"/>
      <c r="J33" s="92" t="s">
        <v>111</v>
      </c>
      <c r="K33" s="93" t="s">
        <v>118</v>
      </c>
      <c r="L33" s="98" t="s">
        <v>113</v>
      </c>
      <c r="M33" s="95" t="s">
        <v>114</v>
      </c>
      <c r="N33" s="95" t="s">
        <v>115</v>
      </c>
      <c r="O33" s="95" t="s">
        <v>116</v>
      </c>
      <c r="P33" s="96" t="s">
        <v>117</v>
      </c>
    </row>
    <row r="34" spans="2:16" ht="12.75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>
      <c r="B35" s="163">
        <v>2</v>
      </c>
      <c r="C35" s="168">
        <f aca="true" t="shared" si="2" ref="C35:C53">8200-302+B35*14</f>
        <v>7926</v>
      </c>
      <c r="D35" s="17" t="s">
        <v>7</v>
      </c>
      <c r="E35" s="4"/>
      <c r="F35" s="4"/>
      <c r="G35" s="4"/>
      <c r="H35" s="24" t="s">
        <v>350</v>
      </c>
      <c r="I35" s="6"/>
      <c r="J35" s="168">
        <v>2</v>
      </c>
      <c r="K35" s="168">
        <f aca="true" t="shared" si="3" ref="K35:K53">8200+8+J35*14</f>
        <v>8236</v>
      </c>
      <c r="L35" s="17" t="s">
        <v>7</v>
      </c>
      <c r="M35" s="4"/>
      <c r="N35" s="4"/>
      <c r="O35" s="4"/>
      <c r="P35" s="134" t="s">
        <v>351</v>
      </c>
    </row>
    <row r="36" spans="2:16" ht="12.75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ht="12.75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ht="12.75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343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343</v>
      </c>
    </row>
    <row r="39" spans="2:16" ht="26.25" customHeight="1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344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344</v>
      </c>
    </row>
    <row r="40" spans="2:16" ht="12.75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ht="12.75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247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247</v>
      </c>
    </row>
    <row r="42" spans="2:16" ht="12.75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ht="12.75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ht="12.75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ht="12.75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ht="12.75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ht="12.75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ht="12.75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2:16" ht="12.75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2:16" ht="12.75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2:16" ht="12.75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2:16" ht="12.75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2:16" ht="13.5" thickBot="1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ht="12.75">
      <c r="A54" s="412">
        <v>4</v>
      </c>
      <c r="B54" s="83"/>
      <c r="C54" s="83"/>
      <c r="D54" s="141"/>
      <c r="E54" s="418" t="s">
        <v>168</v>
      </c>
      <c r="F54" s="419"/>
      <c r="G54" s="419" t="s">
        <v>169</v>
      </c>
      <c r="H54" s="419"/>
      <c r="I54" s="88" t="s">
        <v>165</v>
      </c>
      <c r="J54" s="419" t="s">
        <v>163</v>
      </c>
      <c r="K54" s="419"/>
      <c r="L54" s="89" t="s">
        <v>429</v>
      </c>
      <c r="M54" s="83"/>
      <c r="N54" s="83"/>
      <c r="O54" s="83"/>
      <c r="P54" s="83"/>
    </row>
    <row r="55" spans="1:16" ht="13.5" customHeight="1" thickBot="1">
      <c r="A55" s="413"/>
      <c r="B55" s="83"/>
      <c r="C55" s="83"/>
      <c r="D55" s="142"/>
      <c r="E55" s="414" t="s">
        <v>147</v>
      </c>
      <c r="F55" s="415"/>
      <c r="G55" s="415"/>
      <c r="H55" s="415"/>
      <c r="I55" s="415"/>
      <c r="J55" s="415"/>
      <c r="K55" s="415"/>
      <c r="L55" s="417"/>
      <c r="M55" s="83"/>
      <c r="N55" s="83"/>
      <c r="O55" s="83"/>
      <c r="P55" s="83"/>
    </row>
    <row r="56" spans="2:16" ht="13.5" thickBot="1">
      <c r="B56" s="92" t="s">
        <v>111</v>
      </c>
      <c r="C56" s="93" t="s">
        <v>112</v>
      </c>
      <c r="D56" s="98" t="s">
        <v>113</v>
      </c>
      <c r="E56" s="95" t="s">
        <v>114</v>
      </c>
      <c r="F56" s="95" t="s">
        <v>115</v>
      </c>
      <c r="G56" s="95" t="s">
        <v>116</v>
      </c>
      <c r="H56" s="96" t="s">
        <v>117</v>
      </c>
      <c r="I56" s="75"/>
      <c r="J56" s="92" t="s">
        <v>111</v>
      </c>
      <c r="K56" s="93" t="s">
        <v>118</v>
      </c>
      <c r="L56" s="98" t="s">
        <v>113</v>
      </c>
      <c r="M56" s="95" t="s">
        <v>114</v>
      </c>
      <c r="N56" s="95" t="s">
        <v>115</v>
      </c>
      <c r="O56" s="95" t="s">
        <v>116</v>
      </c>
      <c r="P56" s="96" t="s">
        <v>117</v>
      </c>
    </row>
    <row r="57" spans="2:16" ht="12.75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2:16" ht="12.75">
      <c r="B58" s="227">
        <v>2</v>
      </c>
      <c r="C58" s="230">
        <f aca="true" t="shared" si="4" ref="C58:C96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aca="true" t="shared" si="5" ref="K58:K96">8200+11.5+J58*7</f>
        <v>8225.5</v>
      </c>
      <c r="L58" s="20"/>
      <c r="M58" s="4"/>
      <c r="N58" s="4"/>
      <c r="O58" s="4"/>
      <c r="P58" s="113"/>
    </row>
    <row r="59" spans="2:16" ht="72" customHeight="1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379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380</v>
      </c>
    </row>
    <row r="60" spans="2:16" ht="12.75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2:16" ht="12.75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2:16" s="23" customFormat="1" ht="25.5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368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369</v>
      </c>
    </row>
    <row r="63" spans="2:16" ht="12.75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2:16" ht="12.75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ht="12.75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370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371</v>
      </c>
    </row>
    <row r="67" spans="2:16" ht="10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249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248</v>
      </c>
    </row>
    <row r="68" spans="2:16" ht="10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587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588</v>
      </c>
    </row>
    <row r="69" spans="2:16" ht="63.75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341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342</v>
      </c>
    </row>
    <row r="70" spans="2:16" s="23" customFormat="1" ht="63.75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372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373</v>
      </c>
    </row>
    <row r="71" spans="2:16" ht="12.75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ht="12.75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366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367</v>
      </c>
    </row>
    <row r="73" spans="2:16" ht="12.75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ht="12.75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ht="12.75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ht="12.75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ht="12.75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ht="12.75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ht="12.75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ht="12.75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ht="12.75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ht="12.75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ht="12.75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ht="12.75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ht="12.75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ht="12.75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ht="12.75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ht="12.75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ht="12.75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ht="12.75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ht="12.75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ht="12.75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ht="12.75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ht="12.75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ht="12.75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ht="12.75">
      <c r="A97" s="412">
        <v>5</v>
      </c>
      <c r="B97" s="83"/>
      <c r="C97" s="83"/>
      <c r="D97" s="141"/>
      <c r="E97" s="418" t="s">
        <v>170</v>
      </c>
      <c r="F97" s="419"/>
      <c r="G97" s="419" t="s">
        <v>171</v>
      </c>
      <c r="H97" s="419"/>
      <c r="I97" s="88" t="s">
        <v>165</v>
      </c>
      <c r="J97" s="419" t="s">
        <v>163</v>
      </c>
      <c r="K97" s="419"/>
      <c r="L97" s="89" t="s">
        <v>430</v>
      </c>
      <c r="M97" s="83"/>
      <c r="N97" s="83"/>
      <c r="O97" s="83"/>
      <c r="P97" s="83"/>
    </row>
    <row r="98" spans="1:16" ht="16.5" thickBot="1">
      <c r="A98" s="413"/>
      <c r="B98" s="83"/>
      <c r="C98" s="83"/>
      <c r="D98" s="142"/>
      <c r="E98" s="414" t="s">
        <v>150</v>
      </c>
      <c r="F98" s="415"/>
      <c r="G98" s="415"/>
      <c r="H98" s="415"/>
      <c r="I98" s="415"/>
      <c r="J98" s="415"/>
      <c r="K98" s="415"/>
      <c r="L98" s="417"/>
      <c r="M98" s="83"/>
      <c r="N98" s="83"/>
      <c r="O98" s="83"/>
      <c r="P98" s="83"/>
    </row>
    <row r="99" spans="2:16" ht="13.5" thickBot="1">
      <c r="B99" s="92" t="s">
        <v>111</v>
      </c>
      <c r="C99" s="93" t="s">
        <v>112</v>
      </c>
      <c r="D99" s="98" t="s">
        <v>113</v>
      </c>
      <c r="E99" s="95" t="s">
        <v>114</v>
      </c>
      <c r="F99" s="95" t="s">
        <v>115</v>
      </c>
      <c r="G99" s="95" t="s">
        <v>116</v>
      </c>
      <c r="H99" s="96" t="s">
        <v>117</v>
      </c>
      <c r="I99" s="75"/>
      <c r="J99" s="92" t="s">
        <v>111</v>
      </c>
      <c r="K99" s="93" t="s">
        <v>118</v>
      </c>
      <c r="L99" s="98" t="s">
        <v>113</v>
      </c>
      <c r="M99" s="95" t="s">
        <v>114</v>
      </c>
      <c r="N99" s="95" t="s">
        <v>115</v>
      </c>
      <c r="O99" s="95" t="s">
        <v>116</v>
      </c>
      <c r="P99" s="96" t="s">
        <v>117</v>
      </c>
    </row>
    <row r="100" spans="2:16" ht="12.75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2:16" ht="12.75">
      <c r="B101" s="227">
        <v>2</v>
      </c>
      <c r="C101" s="230">
        <f aca="true" t="shared" si="6" ref="C101:C164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aca="true" t="shared" si="7" ref="K101:K164">8200+13.25+J101*3.5</f>
        <v>8220.25</v>
      </c>
      <c r="L101" s="20"/>
      <c r="M101" s="4"/>
      <c r="N101" s="4"/>
      <c r="O101" s="4"/>
      <c r="P101" s="113"/>
    </row>
    <row r="102" spans="2:16" ht="12.75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2:16" ht="12.75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2:16" ht="12.75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2:16" ht="12.75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2:16" ht="12.75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2:16" ht="12.75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2:16" ht="12.75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2:16" ht="12.75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2:16" ht="12.75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2:16" ht="12.75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2:16" ht="12.75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ht="12.75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ht="12.75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ht="12.75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ht="12.75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ht="12.75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ht="12.75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ht="12.75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ht="12.75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ht="12.75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ht="12.75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ht="12.75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ht="12.75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ht="12.75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ht="12.75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ht="12.75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ht="12.75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ht="12.75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ht="12.75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ht="12.75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ht="12.75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ht="12.75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ht="12.75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ht="12.75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ht="12.75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ht="12.75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ht="12.75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ht="12.75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ht="12.75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ht="12.75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ht="12.75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ht="12.75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ht="12.75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ht="12.75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ht="12.75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ht="12.75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ht="12.75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ht="12.75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ht="12.75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ht="12.75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ht="12.75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ht="12.75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ht="12.75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ht="12.75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ht="12.75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ht="12.75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ht="12.75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ht="12.75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ht="12.75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ht="12.75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ht="12.75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ht="12.75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ht="12.75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ht="12.75">
      <c r="B165" s="227">
        <v>66</v>
      </c>
      <c r="C165" s="230">
        <f aca="true" t="shared" si="8" ref="C165:C179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aca="true" t="shared" si="9" ref="K165:K179">8200+13.25+J165*3.5</f>
        <v>8444.25</v>
      </c>
      <c r="L165" s="33"/>
      <c r="M165" s="9"/>
      <c r="N165" s="9"/>
      <c r="O165" s="9"/>
      <c r="P165" s="113"/>
    </row>
    <row r="166" spans="2:16" ht="12.75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ht="12.75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ht="12.75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ht="12.75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ht="12.75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ht="12.75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ht="12.75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ht="12.75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ht="12.75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ht="12.75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ht="12.75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2:16" ht="12.75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2:16" ht="12.75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2:16" ht="13.5" thickBot="1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ht="12.75">
      <c r="A180" s="412">
        <v>6</v>
      </c>
      <c r="B180" s="83"/>
      <c r="C180" s="83"/>
      <c r="D180" s="141"/>
      <c r="E180" s="418" t="s">
        <v>172</v>
      </c>
      <c r="F180" s="419"/>
      <c r="G180" s="419" t="s">
        <v>173</v>
      </c>
      <c r="H180" s="419"/>
      <c r="I180" s="88" t="s">
        <v>165</v>
      </c>
      <c r="J180" s="419" t="s">
        <v>163</v>
      </c>
      <c r="K180" s="419"/>
      <c r="L180" s="89" t="s">
        <v>433</v>
      </c>
      <c r="M180" s="83"/>
      <c r="N180" s="83"/>
      <c r="O180" s="83"/>
      <c r="P180" s="83"/>
    </row>
    <row r="181" spans="1:16" ht="16.5" thickBot="1">
      <c r="A181" s="413"/>
      <c r="B181" s="83"/>
      <c r="C181" s="83"/>
      <c r="D181" s="142"/>
      <c r="E181" s="414" t="s">
        <v>153</v>
      </c>
      <c r="F181" s="415"/>
      <c r="G181" s="415"/>
      <c r="H181" s="415"/>
      <c r="I181" s="415"/>
      <c r="J181" s="415"/>
      <c r="K181" s="415"/>
      <c r="L181" s="417"/>
      <c r="M181" s="83"/>
      <c r="N181" s="83"/>
      <c r="O181" s="83"/>
      <c r="P181" s="83"/>
    </row>
    <row r="182" spans="2:16" ht="13.5" thickBot="1">
      <c r="B182" s="92" t="s">
        <v>111</v>
      </c>
      <c r="C182" s="93" t="s">
        <v>112</v>
      </c>
      <c r="D182" s="98" t="s">
        <v>113</v>
      </c>
      <c r="E182" s="95" t="s">
        <v>114</v>
      </c>
      <c r="F182" s="95" t="s">
        <v>115</v>
      </c>
      <c r="G182" s="95" t="s">
        <v>116</v>
      </c>
      <c r="H182" s="96" t="s">
        <v>117</v>
      </c>
      <c r="I182" s="75"/>
      <c r="J182" s="188" t="s">
        <v>111</v>
      </c>
      <c r="K182" s="188" t="s">
        <v>118</v>
      </c>
      <c r="L182" s="189" t="s">
        <v>113</v>
      </c>
      <c r="M182" s="190" t="s">
        <v>114</v>
      </c>
      <c r="N182" s="190" t="s">
        <v>115</v>
      </c>
      <c r="O182" s="190" t="s">
        <v>116</v>
      </c>
      <c r="P182" s="191" t="s">
        <v>117</v>
      </c>
    </row>
    <row r="183" spans="2:16" ht="12.75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2:16" ht="12.75">
      <c r="B184" s="227">
        <v>2</v>
      </c>
      <c r="C184" s="230">
        <f aca="true" t="shared" si="10" ref="C184:C247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aca="true" t="shared" si="11" ref="K184:K247">8200+14.125+J184*1.75</f>
        <v>8217.625</v>
      </c>
      <c r="L184" s="20"/>
      <c r="M184" s="4"/>
      <c r="N184" s="4"/>
      <c r="O184" s="4"/>
      <c r="P184" s="113"/>
    </row>
    <row r="185" spans="2:16" ht="12.75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2:16" ht="12.75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2:16" ht="12.75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2:16" ht="12.75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2:16" ht="12.75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2:16" ht="12.75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2:16" ht="12.75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2:16" ht="12.75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ht="12.75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ht="12.75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ht="12.75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ht="12.75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ht="12.75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ht="12.75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ht="12.75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ht="12.75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ht="12.75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ht="12.75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ht="12.75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ht="12.75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ht="12.75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ht="12.75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ht="12.75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ht="12.75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ht="12.75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ht="12.75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ht="12.75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ht="12.75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ht="12.75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ht="12.75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ht="12.75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ht="12.75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ht="12.75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ht="12.75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ht="12.75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ht="12.75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ht="12.75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ht="12.75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ht="12.75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ht="12.75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ht="12.75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ht="12.75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ht="12.75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ht="12.75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ht="12.75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ht="12.75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ht="12.75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ht="12.75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ht="12.75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ht="12.75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ht="12.75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ht="12.75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ht="12.75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ht="12.75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ht="12.75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ht="12.75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ht="12.75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ht="12.75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ht="12.75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ht="12.75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ht="12.75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ht="12.75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ht="12.75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ht="12.75">
      <c r="B248" s="227">
        <v>66</v>
      </c>
      <c r="C248" s="230">
        <f aca="true" t="shared" si="12" ref="C248:C311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aca="true" t="shared" si="13" ref="K248:K311">8200+14.125+J248*1.75</f>
        <v>8329.625</v>
      </c>
      <c r="L248" s="33"/>
      <c r="M248" s="9"/>
      <c r="N248" s="9"/>
      <c r="O248" s="9"/>
      <c r="P248" s="113"/>
    </row>
    <row r="249" spans="2:16" ht="12.75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ht="12.75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ht="12.75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ht="12.75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ht="12.75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ht="12.75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ht="12.75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ht="12.75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ht="12.75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ht="12.75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ht="12.75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ht="12.75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ht="12.75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ht="12.75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ht="12.75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ht="12.75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ht="12.75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ht="12.75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ht="12.75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ht="12.75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ht="12.75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ht="12.75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ht="12.75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ht="12.75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ht="12.75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ht="12.75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ht="12.75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ht="12.75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ht="12.75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ht="12.75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ht="12.75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ht="12.75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ht="12.75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ht="12.75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ht="12.75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ht="12.75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ht="12.75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ht="12.75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ht="12.75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ht="12.75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ht="12.75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ht="12.75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ht="12.75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ht="12.75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ht="12.75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ht="12.75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ht="12.75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ht="12.75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ht="12.75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ht="12.75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ht="12.75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ht="12.75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ht="12.75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ht="12.75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ht="12.75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ht="12.75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ht="12.75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ht="12.75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ht="12.75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ht="12.75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ht="12.75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ht="12.75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ht="12.75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ht="12.75">
      <c r="B312" s="227">
        <v>130</v>
      </c>
      <c r="C312" s="230">
        <f aca="true" t="shared" si="14" ref="C312:C342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aca="true" t="shared" si="15" ref="K312:K342">8200+14.125+J312*1.75</f>
        <v>8441.625</v>
      </c>
      <c r="L312" s="33"/>
      <c r="M312" s="9"/>
      <c r="N312" s="9"/>
      <c r="O312" s="9"/>
      <c r="P312" s="113"/>
    </row>
    <row r="313" spans="2:16" ht="12.75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ht="12.75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ht="12.75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ht="12.75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ht="12.75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ht="12.75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ht="12.75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ht="12.75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ht="12.75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ht="12.75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ht="12.75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ht="12.75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ht="12.75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ht="12.75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ht="12.75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ht="12.75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ht="12.75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ht="12.75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ht="12.75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ht="12.75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ht="12.75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ht="12.75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ht="12.75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ht="12.75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ht="12.75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ht="12.75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ht="12.75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ht="12.75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ht="12.75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workbookViewId="0" topLeftCell="A55">
      <selection activeCell="I19" sqref="I19"/>
    </sheetView>
  </sheetViews>
  <sheetFormatPr defaultColWidth="9.140625" defaultRowHeight="12.75"/>
  <cols>
    <col min="2" max="2" width="11.7109375" style="0" customWidth="1"/>
    <col min="3" max="3" width="18.28125" style="0" customWidth="1"/>
    <col min="6" max="6" width="11.57421875" style="0" customWidth="1"/>
    <col min="7" max="7" width="11.00390625" style="0" customWidth="1"/>
    <col min="8" max="8" width="24.00390625" style="0" customWidth="1"/>
    <col min="10" max="10" width="10.28125" style="0" customWidth="1"/>
    <col min="11" max="11" width="20.421875" style="0" customWidth="1"/>
    <col min="14" max="14" width="12.8515625" style="0" customWidth="1"/>
    <col min="15" max="15" width="11.57421875" style="0" customWidth="1"/>
    <col min="16" max="16" width="25.851562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175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 t="s">
        <v>176</v>
      </c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174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178</v>
      </c>
      <c r="F13" s="419"/>
      <c r="G13" s="419" t="s">
        <v>180</v>
      </c>
      <c r="H13" s="419"/>
      <c r="I13" s="88" t="s">
        <v>181</v>
      </c>
      <c r="J13" s="419" t="s">
        <v>179</v>
      </c>
      <c r="K13" s="419"/>
      <c r="L13" s="89" t="s">
        <v>426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140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485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483</v>
      </c>
    </row>
    <row r="18" spans="2:16" ht="12.75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2:16" ht="39" customHeight="1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509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2:16" ht="20.25" customHeight="1" thickBot="1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484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ht="12.75">
      <c r="A21" s="412">
        <v>2</v>
      </c>
      <c r="B21" s="83"/>
      <c r="C21" s="83"/>
      <c r="D21" s="141"/>
      <c r="E21" s="418" t="s">
        <v>182</v>
      </c>
      <c r="F21" s="419"/>
      <c r="G21" s="419" t="s">
        <v>183</v>
      </c>
      <c r="H21" s="419"/>
      <c r="I21" s="88" t="s">
        <v>181</v>
      </c>
      <c r="J21" s="419" t="s">
        <v>179</v>
      </c>
      <c r="K21" s="419"/>
      <c r="L21" s="89" t="s">
        <v>427</v>
      </c>
      <c r="M21" s="83"/>
      <c r="N21" s="83"/>
      <c r="O21" s="83"/>
      <c r="P21" s="83"/>
    </row>
    <row r="22" spans="1:16" ht="16.5" thickBot="1">
      <c r="A22" s="413"/>
      <c r="B22" s="83"/>
      <c r="C22" s="83"/>
      <c r="D22" s="142"/>
      <c r="E22" s="414" t="s">
        <v>144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5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5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12.75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2:16" ht="12.75">
      <c r="B25" s="227">
        <v>2</v>
      </c>
      <c r="C25" s="230">
        <f aca="true" t="shared" si="0" ref="C25:C33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aca="true" t="shared" si="1" ref="K25:K33">SUM(11701-1204+J25*14)</f>
        <v>10525</v>
      </c>
      <c r="L25" s="4"/>
      <c r="M25" s="4"/>
      <c r="N25" s="4"/>
      <c r="O25" s="4"/>
      <c r="P25" s="113"/>
    </row>
    <row r="26" spans="2:16" ht="12.75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2:16" ht="12.75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2:16" ht="12.75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2:16" ht="12.75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2:16" ht="12.75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2:16" ht="12.75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2:16" ht="12.75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2:16" ht="13.5" thickBot="1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ht="12.75">
      <c r="A34" s="412">
        <v>3</v>
      </c>
      <c r="B34" s="83"/>
      <c r="C34" s="83"/>
      <c r="D34" s="141"/>
      <c r="E34" s="418" t="s">
        <v>184</v>
      </c>
      <c r="F34" s="419"/>
      <c r="G34" s="419" t="s">
        <v>177</v>
      </c>
      <c r="H34" s="419"/>
      <c r="I34" s="88" t="s">
        <v>181</v>
      </c>
      <c r="J34" s="419" t="s">
        <v>179</v>
      </c>
      <c r="K34" s="419"/>
      <c r="L34" s="89" t="s">
        <v>428</v>
      </c>
      <c r="M34" s="83"/>
      <c r="N34" s="83"/>
      <c r="O34" s="83"/>
      <c r="P34" s="83"/>
    </row>
    <row r="35" spans="1:16" ht="16.5" thickBot="1">
      <c r="A35" s="413"/>
      <c r="B35" s="83"/>
      <c r="C35" s="83"/>
      <c r="D35" s="142"/>
      <c r="E35" s="414" t="s">
        <v>147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2:16" ht="13.5" thickBot="1">
      <c r="B36" s="92" t="s">
        <v>111</v>
      </c>
      <c r="C36" s="93" t="s">
        <v>112</v>
      </c>
      <c r="D36" s="95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3" t="s">
        <v>118</v>
      </c>
      <c r="L36" s="95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2:16" ht="12.75">
      <c r="B38" s="227">
        <v>2</v>
      </c>
      <c r="C38" s="230">
        <f aca="true" t="shared" si="2" ref="C38:C56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aca="true" t="shared" si="3" ref="K38:K56">SUM(11701-1200.5+J38*7)</f>
        <v>10514.5</v>
      </c>
      <c r="L38" s="4"/>
      <c r="M38" s="4"/>
      <c r="N38" s="4"/>
      <c r="O38" s="4"/>
      <c r="P38" s="113"/>
    </row>
    <row r="39" spans="2:16" ht="12.75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2:16" ht="12.75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2:16" ht="14.25" customHeight="1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2:16" ht="17.25" customHeight="1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284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284</v>
      </c>
    </row>
    <row r="43" spans="2:16" ht="12.75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2:16" ht="12.75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2:16" ht="12.75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2:16" ht="12.75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2:16" ht="12.75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2:16" ht="12.75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2:16" ht="12.75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2:16" ht="12.75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2:16" ht="12.75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2:16" ht="12.75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2:16" ht="12.75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2:16" ht="12.75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2:16" ht="12.75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2:16" ht="13.5" thickBot="1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ht="12.75">
      <c r="A57" s="412">
        <v>4</v>
      </c>
      <c r="B57" s="83"/>
      <c r="C57" s="83"/>
      <c r="D57" s="141"/>
      <c r="E57" s="418" t="s">
        <v>185</v>
      </c>
      <c r="F57" s="419"/>
      <c r="G57" s="419" t="s">
        <v>186</v>
      </c>
      <c r="H57" s="419"/>
      <c r="I57" s="88" t="s">
        <v>181</v>
      </c>
      <c r="J57" s="419" t="s">
        <v>179</v>
      </c>
      <c r="K57" s="419"/>
      <c r="L57" s="89" t="s">
        <v>434</v>
      </c>
      <c r="M57" s="83"/>
      <c r="N57" s="83"/>
      <c r="O57" s="83"/>
      <c r="P57" s="83"/>
    </row>
    <row r="58" spans="1:16" ht="16.5" thickBot="1">
      <c r="A58" s="413"/>
      <c r="B58" s="83"/>
      <c r="C58" s="83"/>
      <c r="D58" s="142"/>
      <c r="E58" s="414" t="s">
        <v>150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2:16" ht="13.5" thickBot="1">
      <c r="B59" s="92" t="s">
        <v>111</v>
      </c>
      <c r="C59" s="93" t="s">
        <v>112</v>
      </c>
      <c r="D59" s="95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111</v>
      </c>
      <c r="K59" s="93" t="s">
        <v>118</v>
      </c>
      <c r="L59" s="95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478</v>
      </c>
    </row>
    <row r="61" spans="2:16" ht="12.75">
      <c r="B61" s="227">
        <v>2</v>
      </c>
      <c r="C61" s="230">
        <f aca="true" t="shared" si="4" ref="C61:C101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aca="true" t="shared" si="5" ref="K61:K101">SUM(11701-1202.25+J61*3.5)</f>
        <v>10505.75</v>
      </c>
      <c r="L61" s="4"/>
      <c r="M61" s="4"/>
      <c r="N61" s="4"/>
      <c r="O61" s="4"/>
      <c r="P61" s="113"/>
    </row>
    <row r="62" spans="2:16" ht="12.75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2:16" ht="12.75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2:16" ht="12.75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ht="12.75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ht="12.75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ht="12.75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ht="12.75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ht="12.75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ht="12.75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ht="12.75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ht="12.75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ht="12.75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ht="12.75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ht="12.75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ht="12.75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ht="12.75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ht="12.75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ht="12.75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ht="12.75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ht="12.75">
      <c r="B81" s="227">
        <f aca="true" t="shared" si="6" ref="B81:B101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aca="true" t="shared" si="7" ref="J81:J101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ht="12.75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ht="12.75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ht="12.75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ht="12.75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ht="12.75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ht="12.75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ht="12.75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ht="12.75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ht="12.75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ht="12.75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ht="12.75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ht="12.75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ht="12.75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ht="12.75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ht="12.75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ht="12.75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ht="12.75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ht="12.75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ht="12.75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83"/>
  <sheetViews>
    <sheetView zoomScale="84" zoomScaleNormal="84" workbookViewId="0" topLeftCell="A55">
      <selection activeCell="H59" sqref="H59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1.140625" style="0" customWidth="1"/>
    <col min="7" max="7" width="11.57421875" style="0" customWidth="1"/>
    <col min="8" max="8" width="32.28125" style="0" customWidth="1"/>
    <col min="9" max="9" width="21.7109375" style="0" customWidth="1"/>
    <col min="10" max="10" width="11.28125" style="0" customWidth="1"/>
    <col min="11" max="11" width="18.421875" style="0" customWidth="1"/>
    <col min="12" max="12" width="15.140625" style="19" customWidth="1"/>
    <col min="14" max="14" width="11.28125" style="0" customWidth="1"/>
    <col min="15" max="15" width="10.8515625" style="0" customWidth="1"/>
    <col min="16" max="16" width="35.28125" style="0" customWidth="1"/>
  </cols>
  <sheetData>
    <row r="1" ht="12.75"/>
    <row r="2" ht="12.75"/>
    <row r="3" ht="12.75"/>
    <row r="4" ht="13.5" thickBot="1"/>
    <row r="5" spans="2:16" ht="16.5" thickBot="1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2:16" ht="15.75">
      <c r="B6" s="155"/>
      <c r="C6" s="84"/>
      <c r="D6" s="90"/>
      <c r="E6" s="420" t="s">
        <v>195</v>
      </c>
      <c r="F6" s="421"/>
      <c r="G6" s="421"/>
      <c r="H6" s="421"/>
      <c r="I6" s="421"/>
      <c r="J6" s="421"/>
      <c r="K6" s="421"/>
      <c r="L6" s="422"/>
      <c r="M6" s="87"/>
      <c r="N6" s="84"/>
      <c r="O6" s="84"/>
      <c r="P6" s="156"/>
    </row>
    <row r="7" spans="2:16" ht="15.75">
      <c r="B7" s="155"/>
      <c r="C7" s="84"/>
      <c r="D7" s="90"/>
      <c r="E7" s="423"/>
      <c r="F7" s="424"/>
      <c r="G7" s="424"/>
      <c r="H7" s="424"/>
      <c r="I7" s="424"/>
      <c r="J7" s="424"/>
      <c r="K7" s="424"/>
      <c r="L7" s="425"/>
      <c r="M7" s="87"/>
      <c r="N7" s="84"/>
      <c r="O7" s="84"/>
      <c r="P7" s="156"/>
    </row>
    <row r="8" spans="2:16" ht="15">
      <c r="B8" s="157"/>
      <c r="C8" s="85"/>
      <c r="D8" s="86"/>
      <c r="E8" s="426" t="s">
        <v>418</v>
      </c>
      <c r="F8" s="427"/>
      <c r="G8" s="427"/>
      <c r="H8" s="427"/>
      <c r="I8" s="427"/>
      <c r="J8" s="427"/>
      <c r="K8" s="427"/>
      <c r="L8" s="428"/>
      <c r="M8" s="87"/>
      <c r="N8" s="84"/>
      <c r="O8" s="84"/>
      <c r="P8" s="156"/>
    </row>
    <row r="9" spans="2:16" ht="15.75" thickBot="1">
      <c r="B9" s="143"/>
      <c r="C9" s="103"/>
      <c r="D9" s="104"/>
      <c r="E9" s="429" t="s">
        <v>187</v>
      </c>
      <c r="F9" s="430"/>
      <c r="G9" s="430"/>
      <c r="H9" s="430"/>
      <c r="I9" s="430"/>
      <c r="J9" s="430"/>
      <c r="K9" s="430"/>
      <c r="L9" s="431"/>
      <c r="M9" s="97"/>
      <c r="N9" s="91"/>
      <c r="O9" s="91"/>
      <c r="P9" s="111"/>
    </row>
    <row r="10" spans="2:16" ht="1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2:16" ht="15.75" thickBot="1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ht="12.75">
      <c r="A12" s="412">
        <v>1</v>
      </c>
      <c r="B12" s="83"/>
      <c r="C12" s="83"/>
      <c r="D12" s="141"/>
      <c r="E12" s="418" t="s">
        <v>188</v>
      </c>
      <c r="F12" s="419"/>
      <c r="G12" s="419" t="s">
        <v>191</v>
      </c>
      <c r="H12" s="419"/>
      <c r="I12" s="88" t="s">
        <v>190</v>
      </c>
      <c r="J12" s="419" t="s">
        <v>189</v>
      </c>
      <c r="K12" s="419"/>
      <c r="L12" s="89" t="s">
        <v>435</v>
      </c>
      <c r="M12" s="83"/>
      <c r="N12" s="83"/>
      <c r="O12" s="83"/>
      <c r="P12" s="83"/>
    </row>
    <row r="13" spans="1:16" ht="16.5" thickBot="1">
      <c r="A13" s="413"/>
      <c r="B13" s="83"/>
      <c r="C13" s="83"/>
      <c r="D13" s="142"/>
      <c r="E13" s="414" t="s">
        <v>122</v>
      </c>
      <c r="F13" s="415"/>
      <c r="G13" s="415"/>
      <c r="H13" s="415"/>
      <c r="I13" s="415"/>
      <c r="J13" s="415"/>
      <c r="K13" s="415"/>
      <c r="L13" s="417"/>
      <c r="M13" s="83"/>
      <c r="N13" s="83"/>
      <c r="O13" s="83"/>
      <c r="P13" s="83"/>
    </row>
    <row r="14" spans="2:16" ht="13.5" thickBot="1">
      <c r="B14" s="92" t="s">
        <v>111</v>
      </c>
      <c r="C14" s="93" t="s">
        <v>112</v>
      </c>
      <c r="D14" s="94" t="s">
        <v>113</v>
      </c>
      <c r="E14" s="95" t="s">
        <v>114</v>
      </c>
      <c r="F14" s="95" t="s">
        <v>115</v>
      </c>
      <c r="G14" s="95" t="s">
        <v>116</v>
      </c>
      <c r="H14" s="96" t="s">
        <v>117</v>
      </c>
      <c r="I14" s="75"/>
      <c r="J14" s="92" t="s">
        <v>111</v>
      </c>
      <c r="K14" s="93" t="s">
        <v>118</v>
      </c>
      <c r="L14" s="94" t="s">
        <v>113</v>
      </c>
      <c r="M14" s="95" t="s">
        <v>114</v>
      </c>
      <c r="N14" s="95" t="s">
        <v>115</v>
      </c>
      <c r="O14" s="95" t="s">
        <v>116</v>
      </c>
      <c r="P14" s="96" t="s">
        <v>117</v>
      </c>
    </row>
    <row r="15" spans="2:16" s="23" customFormat="1" ht="204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742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743</v>
      </c>
    </row>
    <row r="16" spans="2:16" s="23" customFormat="1" ht="114.75" customHeight="1">
      <c r="B16" s="163">
        <v>2</v>
      </c>
      <c r="C16" s="168">
        <f aca="true" t="shared" si="0" ref="C16:C25">SUM(11200-505+B16*40)</f>
        <v>10775</v>
      </c>
      <c r="D16" s="20" t="s">
        <v>7</v>
      </c>
      <c r="E16" s="25"/>
      <c r="F16" s="25"/>
      <c r="G16" s="25"/>
      <c r="H16" s="24" t="s">
        <v>658</v>
      </c>
      <c r="I16" s="133"/>
      <c r="J16" s="168">
        <v>2</v>
      </c>
      <c r="K16" s="168">
        <f aca="true" t="shared" si="1" ref="K16:K24">SUM(11200+25+J16*40)</f>
        <v>11305</v>
      </c>
      <c r="L16" s="20" t="s">
        <v>7</v>
      </c>
      <c r="M16" s="25"/>
      <c r="N16" s="25"/>
      <c r="O16" s="25"/>
      <c r="P16" s="134" t="s">
        <v>659</v>
      </c>
    </row>
    <row r="17" spans="2:16" s="23" customFormat="1" ht="138.75" customHeight="1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696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697</v>
      </c>
    </row>
    <row r="18" spans="2:16" s="23" customFormat="1" ht="47.25" customHeight="1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775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776</v>
      </c>
    </row>
    <row r="19" spans="2:16" ht="45.75" customHeight="1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328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328</v>
      </c>
    </row>
    <row r="20" spans="2:16" ht="25.5">
      <c r="B20" s="163">
        <f aca="true" t="shared" si="2" ref="B20:B25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288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289</v>
      </c>
    </row>
    <row r="21" spans="2:16" ht="12.75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2:16" ht="25.5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275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275</v>
      </c>
    </row>
    <row r="23" spans="2:16" ht="14.25" customHeight="1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585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585</v>
      </c>
    </row>
    <row r="24" spans="2:16" ht="12.75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265</v>
      </c>
    </row>
    <row r="25" spans="2:16" ht="44.25" customHeight="1" thickBot="1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543</v>
      </c>
      <c r="I25" s="81"/>
      <c r="J25" s="169">
        <v>11</v>
      </c>
      <c r="K25" s="169">
        <f>SUM(11200+25+J25*40)</f>
        <v>11665</v>
      </c>
      <c r="L25" s="173" t="s">
        <v>7</v>
      </c>
      <c r="M25" s="174"/>
      <c r="N25" s="174"/>
      <c r="O25" s="174"/>
      <c r="P25" s="200" t="s">
        <v>507</v>
      </c>
    </row>
    <row r="26" spans="1:16" ht="12.75">
      <c r="A26" s="412">
        <v>2</v>
      </c>
      <c r="B26" s="83"/>
      <c r="C26" s="83"/>
      <c r="D26" s="141"/>
      <c r="E26" s="418" t="s">
        <v>736</v>
      </c>
      <c r="F26" s="419"/>
      <c r="G26" s="419" t="s">
        <v>737</v>
      </c>
      <c r="H26" s="419"/>
      <c r="I26" s="365" t="s">
        <v>190</v>
      </c>
      <c r="J26" s="419" t="s">
        <v>189</v>
      </c>
      <c r="K26" s="419"/>
      <c r="L26" s="89" t="s">
        <v>138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140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2:16" ht="15.95" customHeight="1">
      <c r="B28" s="350" t="s">
        <v>111</v>
      </c>
      <c r="C28" s="351" t="s">
        <v>112</v>
      </c>
      <c r="D28" s="352" t="s">
        <v>113</v>
      </c>
      <c r="E28" s="353" t="s">
        <v>114</v>
      </c>
      <c r="F28" s="353" t="s">
        <v>115</v>
      </c>
      <c r="G28" s="353" t="s">
        <v>116</v>
      </c>
      <c r="H28" s="330" t="s">
        <v>117</v>
      </c>
      <c r="I28" s="75"/>
      <c r="J28" s="188" t="s">
        <v>111</v>
      </c>
      <c r="K28" s="188" t="s">
        <v>118</v>
      </c>
      <c r="L28" s="366" t="s">
        <v>113</v>
      </c>
      <c r="M28" s="190" t="s">
        <v>114</v>
      </c>
      <c r="N28" s="190" t="s">
        <v>115</v>
      </c>
      <c r="O28" s="190" t="s">
        <v>116</v>
      </c>
      <c r="P28" s="191" t="s">
        <v>117</v>
      </c>
    </row>
    <row r="29" spans="2:16" s="343" customFormat="1" ht="15.95" customHeight="1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2:16" s="343" customFormat="1" ht="15.95" customHeight="1">
      <c r="B30" s="163">
        <v>2</v>
      </c>
      <c r="C30" s="168">
        <f aca="true" t="shared" si="3" ref="C30:C39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aca="true" t="shared" si="4" ref="K30:K44">SUM(11200+25+J30*28)</f>
        <v>11281</v>
      </c>
      <c r="L30" s="20"/>
      <c r="M30" s="46"/>
      <c r="N30" s="46"/>
      <c r="O30" s="46"/>
      <c r="P30" s="267"/>
    </row>
    <row r="31" spans="2:16" s="343" customFormat="1" ht="15.95" customHeight="1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2:16" s="343" customFormat="1" ht="15.95" customHeight="1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2:16" s="343" customFormat="1" ht="15.95" customHeight="1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2:16" s="343" customFormat="1" ht="15.95" customHeight="1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2:16" s="343" customFormat="1" ht="15.95" customHeight="1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2:16" s="343" customFormat="1" ht="15.95" customHeight="1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2:16" s="343" customFormat="1" ht="15.95" customHeight="1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2:16" s="343" customFormat="1" ht="15.95" customHeight="1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2:16" s="343" customFormat="1" ht="15.95" customHeight="1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2:16" s="343" customFormat="1" ht="15.95" customHeight="1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2:16" s="343" customFormat="1" ht="16.5" customHeight="1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2:16" s="343" customFormat="1" ht="16.5" customHeight="1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2:16" s="343" customFormat="1" ht="16.5" customHeight="1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2:16" s="343" customFormat="1" ht="15.95" customHeight="1" thickBot="1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ht="12.75">
      <c r="A45" s="412">
        <v>3</v>
      </c>
      <c r="B45" s="83"/>
      <c r="C45" s="83"/>
      <c r="D45" s="141"/>
      <c r="E45" s="432" t="s">
        <v>188</v>
      </c>
      <c r="F45" s="433"/>
      <c r="G45" s="433" t="s">
        <v>193</v>
      </c>
      <c r="H45" s="433"/>
      <c r="I45" s="364" t="s">
        <v>194</v>
      </c>
      <c r="J45" s="433" t="s">
        <v>189</v>
      </c>
      <c r="K45" s="433"/>
      <c r="L45" s="107" t="s">
        <v>436</v>
      </c>
      <c r="M45" s="83"/>
      <c r="N45" s="83"/>
      <c r="O45" s="83"/>
      <c r="P45" s="83"/>
    </row>
    <row r="46" spans="1:16" ht="15.75">
      <c r="A46" s="435"/>
      <c r="B46" s="83"/>
      <c r="C46" s="83"/>
      <c r="D46" s="142"/>
      <c r="E46" s="414" t="s">
        <v>122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1:12" ht="13.5" thickBot="1">
      <c r="A47" s="413"/>
      <c r="E47" s="436" t="s">
        <v>192</v>
      </c>
      <c r="F47" s="437"/>
      <c r="G47" s="437"/>
      <c r="H47" s="437"/>
      <c r="I47" s="437"/>
      <c r="J47" s="437"/>
      <c r="K47" s="437"/>
      <c r="L47" s="438"/>
    </row>
    <row r="48" spans="2:16" ht="13.5" thickBot="1">
      <c r="B48" s="92" t="s">
        <v>111</v>
      </c>
      <c r="C48" s="93" t="s">
        <v>112</v>
      </c>
      <c r="D48" s="94" t="s">
        <v>113</v>
      </c>
      <c r="E48" s="95" t="s">
        <v>114</v>
      </c>
      <c r="F48" s="95" t="s">
        <v>115</v>
      </c>
      <c r="G48" s="95" t="s">
        <v>116</v>
      </c>
      <c r="H48" s="96" t="s">
        <v>117</v>
      </c>
      <c r="I48" s="75"/>
      <c r="J48" s="92" t="s">
        <v>111</v>
      </c>
      <c r="K48" s="93" t="s">
        <v>118</v>
      </c>
      <c r="L48" s="94" t="s">
        <v>113</v>
      </c>
      <c r="M48" s="95" t="s">
        <v>114</v>
      </c>
      <c r="N48" s="95" t="s">
        <v>115</v>
      </c>
      <c r="O48" s="95" t="s">
        <v>116</v>
      </c>
      <c r="P48" s="96" t="s">
        <v>117</v>
      </c>
    </row>
    <row r="49" spans="2:16" ht="25.5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645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645</v>
      </c>
    </row>
    <row r="50" spans="2:16" ht="12.75">
      <c r="B50" s="227">
        <v>2</v>
      </c>
      <c r="C50" s="230">
        <f aca="true" t="shared" si="5" ref="C50:C60">SUM(11200-505+B50*40)</f>
        <v>10775</v>
      </c>
      <c r="D50" s="20"/>
      <c r="E50" s="4"/>
      <c r="F50" s="4"/>
      <c r="G50" s="4"/>
      <c r="H50" s="29" t="s">
        <v>549</v>
      </c>
      <c r="I50" s="6"/>
      <c r="J50" s="230">
        <v>2</v>
      </c>
      <c r="K50" s="230">
        <f aca="true" t="shared" si="6" ref="K50:K60">SUM(11200-15+J50*40)</f>
        <v>11265</v>
      </c>
      <c r="L50" s="20"/>
      <c r="M50" s="4"/>
      <c r="N50" s="4"/>
      <c r="O50" s="4"/>
      <c r="P50" s="179" t="s">
        <v>549</v>
      </c>
    </row>
    <row r="51" spans="2:16" ht="12.75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2:16" ht="12.75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358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358</v>
      </c>
    </row>
    <row r="53" spans="2:16" ht="12.75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2:16" ht="12.75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2:16" ht="12.75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329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330</v>
      </c>
    </row>
    <row r="56" spans="2:16" ht="12.75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375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376</v>
      </c>
    </row>
    <row r="57" spans="2:16" ht="76.5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789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790</v>
      </c>
    </row>
    <row r="58" spans="2:16" ht="60" customHeight="1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523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524</v>
      </c>
    </row>
    <row r="59" spans="2:16" ht="52.5" customHeight="1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9" t="s">
        <v>870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870</v>
      </c>
    </row>
    <row r="60" spans="2:16" ht="38.25" customHeight="1" thickBot="1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525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383</v>
      </c>
    </row>
    <row r="61" spans="7:12" ht="13.5" thickBot="1">
      <c r="G61" s="439" t="s">
        <v>437</v>
      </c>
      <c r="H61" s="383"/>
      <c r="I61" s="383"/>
      <c r="J61" s="383"/>
      <c r="K61" s="383"/>
      <c r="L61" s="384"/>
    </row>
    <row r="62" spans="1:16" ht="12.75">
      <c r="A62" s="412">
        <v>4</v>
      </c>
      <c r="B62" s="83"/>
      <c r="C62" s="83"/>
      <c r="D62" s="141"/>
      <c r="E62" s="432" t="s">
        <v>736</v>
      </c>
      <c r="F62" s="433"/>
      <c r="G62" s="433" t="s">
        <v>738</v>
      </c>
      <c r="H62" s="433"/>
      <c r="I62" s="365" t="s">
        <v>194</v>
      </c>
      <c r="J62" s="433" t="s">
        <v>189</v>
      </c>
      <c r="K62" s="433"/>
      <c r="L62" s="107" t="s">
        <v>739</v>
      </c>
      <c r="M62" s="83"/>
      <c r="N62" s="83"/>
      <c r="O62" s="83"/>
      <c r="P62" s="83"/>
    </row>
    <row r="63" spans="1:16" ht="15.75">
      <c r="A63" s="435"/>
      <c r="B63" s="83"/>
      <c r="C63" s="83"/>
      <c r="D63" s="142"/>
      <c r="E63" s="414" t="s">
        <v>140</v>
      </c>
      <c r="F63" s="415"/>
      <c r="G63" s="415"/>
      <c r="H63" s="415"/>
      <c r="I63" s="415"/>
      <c r="J63" s="415"/>
      <c r="K63" s="415"/>
      <c r="L63" s="417"/>
      <c r="M63" s="83"/>
      <c r="N63" s="83"/>
      <c r="O63" s="83"/>
      <c r="P63" s="83"/>
    </row>
    <row r="64" spans="1:12" ht="13.5" thickBot="1">
      <c r="A64" s="413"/>
      <c r="E64" s="440" t="s">
        <v>740</v>
      </c>
      <c r="F64" s="437"/>
      <c r="G64" s="437"/>
      <c r="H64" s="437"/>
      <c r="I64" s="437"/>
      <c r="J64" s="437"/>
      <c r="K64" s="437"/>
      <c r="L64" s="438"/>
    </row>
    <row r="65" spans="2:16" ht="12.75">
      <c r="B65" s="187" t="s">
        <v>111</v>
      </c>
      <c r="C65" s="188" t="s">
        <v>112</v>
      </c>
      <c r="D65" s="366" t="s">
        <v>113</v>
      </c>
      <c r="E65" s="190" t="s">
        <v>114</v>
      </c>
      <c r="F65" s="190" t="s">
        <v>115</v>
      </c>
      <c r="G65" s="190" t="s">
        <v>116</v>
      </c>
      <c r="H65" s="190" t="s">
        <v>117</v>
      </c>
      <c r="I65" s="75"/>
      <c r="J65" s="188" t="s">
        <v>111</v>
      </c>
      <c r="K65" s="188" t="s">
        <v>118</v>
      </c>
      <c r="L65" s="366" t="s">
        <v>113</v>
      </c>
      <c r="M65" s="190" t="s">
        <v>114</v>
      </c>
      <c r="N65" s="190" t="s">
        <v>115</v>
      </c>
      <c r="O65" s="190" t="s">
        <v>116</v>
      </c>
      <c r="P65" s="191" t="s">
        <v>117</v>
      </c>
    </row>
    <row r="66" spans="2:16" ht="14.1" customHeight="1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>
      <c r="B67" s="163">
        <v>2</v>
      </c>
      <c r="C67" s="168">
        <f aca="true" t="shared" si="7" ref="C67:C82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aca="true" t="shared" si="8" ref="K67:K82">SUM(11200-15+J67*28)</f>
        <v>11241</v>
      </c>
      <c r="L67" s="17"/>
      <c r="M67" s="9"/>
      <c r="N67" s="9"/>
      <c r="O67" s="9"/>
      <c r="P67" s="113"/>
    </row>
    <row r="68" spans="2:16" ht="14.1" customHeight="1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7:12" ht="14.1" customHeight="1" thickBot="1">
      <c r="G83" s="439" t="s">
        <v>741</v>
      </c>
      <c r="H83" s="383"/>
      <c r="I83" s="383"/>
      <c r="J83" s="383"/>
      <c r="K83" s="383"/>
      <c r="L83" s="384"/>
    </row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</sheetData>
  <mergeCells count="28"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46:L46"/>
    <mergeCell ref="E6:L6"/>
    <mergeCell ref="E7:L7"/>
    <mergeCell ref="E8:L8"/>
    <mergeCell ref="E9:L9"/>
    <mergeCell ref="E12:F12"/>
    <mergeCell ref="G12:H12"/>
    <mergeCell ref="J12:K12"/>
    <mergeCell ref="J45:K45"/>
    <mergeCell ref="A45:A47"/>
    <mergeCell ref="E47:L47"/>
    <mergeCell ref="G26:H26"/>
    <mergeCell ref="J26:K26"/>
    <mergeCell ref="A26:A27"/>
    <mergeCell ref="E26:F26"/>
    <mergeCell ref="A12:A13"/>
    <mergeCell ref="E45:F45"/>
    <mergeCell ref="G45:H45"/>
    <mergeCell ref="E13:L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89"/>
  <sheetViews>
    <sheetView zoomScale="93" zoomScaleNormal="93" workbookViewId="0" topLeftCell="A14">
      <selection activeCell="F16" sqref="F16"/>
    </sheetView>
  </sheetViews>
  <sheetFormatPr defaultColWidth="9.140625" defaultRowHeight="12.75"/>
  <cols>
    <col min="2" max="2" width="11.8515625" style="0" customWidth="1"/>
    <col min="3" max="3" width="19.28125" style="16" customWidth="1"/>
    <col min="4" max="4" width="7.7109375" style="19" customWidth="1"/>
    <col min="5" max="5" width="11.8515625" style="0" customWidth="1"/>
    <col min="6" max="6" width="12.140625" style="0" customWidth="1"/>
    <col min="7" max="7" width="11.57421875" style="0" customWidth="1"/>
    <col min="8" max="8" width="35.8515625" style="0" customWidth="1"/>
    <col min="10" max="10" width="12.8515625" style="0" customWidth="1"/>
    <col min="11" max="11" width="19.00390625" style="16" customWidth="1"/>
    <col min="12" max="12" width="17.8515625" style="19" customWidth="1"/>
    <col min="14" max="14" width="12.28125" style="0" customWidth="1"/>
    <col min="15" max="15" width="12.140625" style="0" customWidth="1"/>
    <col min="16" max="16" width="39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196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197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210</v>
      </c>
      <c r="F13" s="419"/>
      <c r="G13" s="419" t="s">
        <v>212</v>
      </c>
      <c r="H13" s="419"/>
      <c r="I13" s="88" t="s">
        <v>200</v>
      </c>
      <c r="J13" s="419" t="s">
        <v>211</v>
      </c>
      <c r="K13" s="419"/>
      <c r="L13" s="89" t="s">
        <v>435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4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4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" customHeight="1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290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290</v>
      </c>
    </row>
    <row r="17" spans="2:16" ht="12.75">
      <c r="B17" s="227">
        <v>2</v>
      </c>
      <c r="C17" s="168">
        <f aca="true" t="shared" si="0" ref="C17:C22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aca="true" t="shared" si="1" ref="K17:K22">SUM(12996+21+J17*28)</f>
        <v>13073</v>
      </c>
      <c r="L17" s="20"/>
      <c r="M17" s="4"/>
      <c r="N17" s="4"/>
      <c r="O17" s="4"/>
      <c r="P17" s="113"/>
    </row>
    <row r="18" spans="2:16" ht="12.75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554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555</v>
      </c>
    </row>
    <row r="19" spans="2:16" ht="12.75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2:16" ht="12.75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2:16" ht="25.5">
      <c r="B21" s="290">
        <v>6</v>
      </c>
      <c r="C21" s="259">
        <f t="shared" si="0"/>
        <v>12919</v>
      </c>
      <c r="D21" s="72" t="s">
        <v>7</v>
      </c>
      <c r="E21" s="64"/>
      <c r="F21" s="64"/>
      <c r="G21" s="64"/>
      <c r="H21" s="24" t="s">
        <v>919</v>
      </c>
      <c r="I21" s="6"/>
      <c r="J21" s="259">
        <v>6</v>
      </c>
      <c r="K21" s="259">
        <f t="shared" si="1"/>
        <v>13185</v>
      </c>
      <c r="L21" s="72" t="s">
        <v>7</v>
      </c>
      <c r="M21" s="64"/>
      <c r="N21" s="64"/>
      <c r="O21" s="64"/>
      <c r="P21" s="134" t="s">
        <v>919</v>
      </c>
    </row>
    <row r="22" spans="2:16" ht="13.5" thickBot="1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518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518</v>
      </c>
    </row>
    <row r="23" spans="1:16" ht="12.75">
      <c r="A23" s="412">
        <v>2</v>
      </c>
      <c r="B23" s="83"/>
      <c r="C23" s="83"/>
      <c r="D23" s="141"/>
      <c r="E23" s="418" t="s">
        <v>198</v>
      </c>
      <c r="F23" s="419"/>
      <c r="G23" s="419" t="s">
        <v>199</v>
      </c>
      <c r="H23" s="419"/>
      <c r="I23" s="88" t="s">
        <v>200</v>
      </c>
      <c r="J23" s="419" t="s">
        <v>211</v>
      </c>
      <c r="K23" s="419"/>
      <c r="L23" s="89" t="s">
        <v>126</v>
      </c>
      <c r="M23" s="83"/>
      <c r="N23" s="83"/>
      <c r="O23" s="83"/>
      <c r="P23" s="83"/>
    </row>
    <row r="24" spans="1:16" ht="16.5" thickBot="1">
      <c r="A24" s="413"/>
      <c r="B24" s="83"/>
      <c r="C24" s="83"/>
      <c r="D24" s="142"/>
      <c r="E24" s="414" t="s">
        <v>140</v>
      </c>
      <c r="F24" s="415"/>
      <c r="G24" s="415"/>
      <c r="H24" s="415"/>
      <c r="I24" s="415"/>
      <c r="J24" s="415"/>
      <c r="K24" s="415"/>
      <c r="L24" s="417"/>
      <c r="M24" s="83"/>
      <c r="N24" s="83"/>
      <c r="O24" s="83"/>
      <c r="P24" s="83"/>
    </row>
    <row r="25" spans="2:16" ht="13.5" thickBot="1">
      <c r="B25" s="92" t="s">
        <v>111</v>
      </c>
      <c r="C25" s="94" t="s">
        <v>112</v>
      </c>
      <c r="D25" s="94" t="s">
        <v>113</v>
      </c>
      <c r="E25" s="95" t="s">
        <v>114</v>
      </c>
      <c r="F25" s="95" t="s">
        <v>115</v>
      </c>
      <c r="G25" s="95" t="s">
        <v>116</v>
      </c>
      <c r="H25" s="96" t="s">
        <v>117</v>
      </c>
      <c r="I25" s="75"/>
      <c r="J25" s="92" t="s">
        <v>111</v>
      </c>
      <c r="K25" s="94" t="s">
        <v>118</v>
      </c>
      <c r="L25" s="94" t="s">
        <v>113</v>
      </c>
      <c r="M25" s="95" t="s">
        <v>114</v>
      </c>
      <c r="N25" s="95" t="s">
        <v>115</v>
      </c>
      <c r="O25" s="95" t="s">
        <v>116</v>
      </c>
      <c r="P25" s="96" t="s">
        <v>117</v>
      </c>
    </row>
    <row r="26" spans="2:16" ht="145.5" customHeight="1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768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767</v>
      </c>
    </row>
    <row r="27" spans="2:16" s="23" customFormat="1" ht="207" customHeight="1">
      <c r="B27" s="163">
        <v>2</v>
      </c>
      <c r="C27" s="168">
        <f aca="true" t="shared" si="2" ref="C27:C33">SUM(12996-259+B27*28)</f>
        <v>12793</v>
      </c>
      <c r="D27" s="20" t="s">
        <v>7</v>
      </c>
      <c r="E27" s="25"/>
      <c r="F27" s="25"/>
      <c r="G27" s="25"/>
      <c r="H27" s="24" t="s">
        <v>784</v>
      </c>
      <c r="I27" s="133"/>
      <c r="J27" s="168">
        <v>2</v>
      </c>
      <c r="K27" s="168">
        <f aca="true" t="shared" si="3" ref="K27:K33">SUM(12996+7+J27*28)</f>
        <v>13059</v>
      </c>
      <c r="L27" s="20" t="s">
        <v>7</v>
      </c>
      <c r="M27" s="25"/>
      <c r="N27" s="25"/>
      <c r="O27" s="25"/>
      <c r="P27" s="134" t="s">
        <v>783</v>
      </c>
    </row>
    <row r="28" spans="2:16" ht="52.5" customHeight="1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834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835</v>
      </c>
    </row>
    <row r="29" spans="2:16" s="23" customFormat="1" ht="51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501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502</v>
      </c>
    </row>
    <row r="30" spans="2:16" ht="168" customHeight="1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744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745</v>
      </c>
    </row>
    <row r="31" spans="2:16" s="23" customFormat="1" ht="63.75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917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918</v>
      </c>
    </row>
    <row r="32" spans="2:16" ht="201" customHeight="1">
      <c r="B32" s="163">
        <v>7</v>
      </c>
      <c r="C32" s="168">
        <f>SUM(12996-259+B32*28)</f>
        <v>12933</v>
      </c>
      <c r="D32" s="17" t="s">
        <v>7</v>
      </c>
      <c r="E32" s="9"/>
      <c r="F32" s="9"/>
      <c r="G32" s="9"/>
      <c r="H32" s="39" t="s">
        <v>889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890</v>
      </c>
    </row>
    <row r="33" spans="2:16" s="23" customFormat="1" ht="57" customHeight="1" thickBot="1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547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548</v>
      </c>
    </row>
    <row r="34" spans="1:16" ht="12.75">
      <c r="A34" s="412">
        <v>3</v>
      </c>
      <c r="B34" s="83"/>
      <c r="C34" s="83"/>
      <c r="D34" s="141"/>
      <c r="E34" s="418" t="s">
        <v>201</v>
      </c>
      <c r="F34" s="419"/>
      <c r="G34" s="419" t="s">
        <v>202</v>
      </c>
      <c r="H34" s="419"/>
      <c r="I34" s="88" t="s">
        <v>200</v>
      </c>
      <c r="J34" s="419" t="s">
        <v>211</v>
      </c>
      <c r="K34" s="419"/>
      <c r="L34" s="89" t="s">
        <v>138</v>
      </c>
      <c r="M34" s="83"/>
      <c r="N34" s="83"/>
      <c r="O34" s="83"/>
      <c r="P34" s="83"/>
    </row>
    <row r="35" spans="1:16" ht="16.5" thickBot="1">
      <c r="A35" s="413"/>
      <c r="B35" s="83"/>
      <c r="C35" s="83"/>
      <c r="D35" s="142"/>
      <c r="E35" s="414" t="s">
        <v>144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2:16" ht="13.5" thickBot="1">
      <c r="B36" s="92" t="s">
        <v>111</v>
      </c>
      <c r="C36" s="94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4" t="s">
        <v>118</v>
      </c>
      <c r="L36" s="94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2:16" ht="12.75">
      <c r="B38" s="227">
        <v>2</v>
      </c>
      <c r="C38" s="168">
        <f aca="true" t="shared" si="4" ref="C38:C52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aca="true" t="shared" si="5" ref="K38:K52">SUM(12996+14+J38*14)</f>
        <v>13038</v>
      </c>
      <c r="L38" s="20"/>
      <c r="M38" s="4"/>
      <c r="N38" s="4"/>
      <c r="O38" s="4"/>
      <c r="P38" s="113"/>
    </row>
    <row r="39" spans="2:16" ht="12.75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2:16" ht="12.75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2:16" ht="12.75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2:16" ht="12.75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2:16" ht="12.75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2:16" ht="12.75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2:16" ht="38.25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651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651</v>
      </c>
    </row>
    <row r="46" spans="2:16" ht="15" customHeight="1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331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331</v>
      </c>
    </row>
    <row r="47" spans="2:16" ht="12.75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2:16" ht="12.75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2:16" ht="12.75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549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549</v>
      </c>
    </row>
    <row r="50" spans="2:16" ht="38.25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873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874</v>
      </c>
    </row>
    <row r="51" spans="2:16" ht="12.75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2:16" ht="13.5" thickBot="1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ht="12.75">
      <c r="A53" s="412">
        <v>4</v>
      </c>
      <c r="B53" s="83"/>
      <c r="C53" s="83"/>
      <c r="D53" s="141"/>
      <c r="E53" s="432" t="s">
        <v>203</v>
      </c>
      <c r="F53" s="433"/>
      <c r="G53" s="433" t="s">
        <v>204</v>
      </c>
      <c r="H53" s="433"/>
      <c r="I53" s="106" t="s">
        <v>200</v>
      </c>
      <c r="J53" s="433" t="s">
        <v>211</v>
      </c>
      <c r="K53" s="433"/>
      <c r="L53" s="107" t="s">
        <v>438</v>
      </c>
      <c r="M53" s="83"/>
      <c r="N53" s="83"/>
      <c r="O53" s="83"/>
      <c r="P53" s="83"/>
    </row>
    <row r="54" spans="1:16" ht="16.5" thickBot="1">
      <c r="A54" s="413"/>
      <c r="B54" s="83"/>
      <c r="C54" s="83"/>
      <c r="D54" s="142"/>
      <c r="E54" s="414" t="s">
        <v>147</v>
      </c>
      <c r="F54" s="415"/>
      <c r="G54" s="415"/>
      <c r="H54" s="415"/>
      <c r="I54" s="415"/>
      <c r="J54" s="415"/>
      <c r="K54" s="415"/>
      <c r="L54" s="417"/>
      <c r="M54" s="83"/>
      <c r="N54" s="83"/>
      <c r="O54" s="83"/>
      <c r="P54" s="83"/>
    </row>
    <row r="55" spans="2:16" ht="13.5" thickBot="1">
      <c r="B55" s="92" t="s">
        <v>111</v>
      </c>
      <c r="C55" s="94" t="s">
        <v>112</v>
      </c>
      <c r="D55" s="94" t="s">
        <v>113</v>
      </c>
      <c r="E55" s="95" t="s">
        <v>114</v>
      </c>
      <c r="F55" s="95" t="s">
        <v>115</v>
      </c>
      <c r="G55" s="95" t="s">
        <v>116</v>
      </c>
      <c r="H55" s="96" t="s">
        <v>117</v>
      </c>
      <c r="I55" s="75"/>
      <c r="J55" s="92" t="s">
        <v>111</v>
      </c>
      <c r="K55" s="94" t="s">
        <v>118</v>
      </c>
      <c r="L55" s="94" t="s">
        <v>113</v>
      </c>
      <c r="M55" s="95" t="s">
        <v>114</v>
      </c>
      <c r="N55" s="95" t="s">
        <v>115</v>
      </c>
      <c r="O55" s="95" t="s">
        <v>116</v>
      </c>
      <c r="P55" s="96" t="s">
        <v>117</v>
      </c>
    </row>
    <row r="56" spans="2:16" ht="52.5" customHeight="1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258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257</v>
      </c>
    </row>
    <row r="57" spans="2:16" ht="25.5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259</v>
      </c>
      <c r="I57" s="6"/>
      <c r="J57" s="230">
        <v>2</v>
      </c>
      <c r="K57" s="168">
        <f aca="true" t="shared" si="6" ref="K57:K91">SUM(12996+17.5+J57*7)</f>
        <v>13027.5</v>
      </c>
      <c r="L57" s="20" t="s">
        <v>7</v>
      </c>
      <c r="M57" s="4"/>
      <c r="N57" s="4"/>
      <c r="O57" s="4"/>
      <c r="P57" s="179" t="s">
        <v>246</v>
      </c>
    </row>
    <row r="58" spans="2:16" ht="25.5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268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268</v>
      </c>
    </row>
    <row r="59" spans="2:16" ht="12.75">
      <c r="B59" s="227">
        <v>4</v>
      </c>
      <c r="C59" s="168">
        <f aca="true" t="shared" si="7" ref="C59:C91">SUM(12996-248.5+B59*7)</f>
        <v>12775.5</v>
      </c>
      <c r="D59" s="20" t="s">
        <v>7</v>
      </c>
      <c r="E59" s="9"/>
      <c r="F59" s="9"/>
      <c r="G59" s="9"/>
      <c r="H59" s="50" t="s">
        <v>281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281</v>
      </c>
    </row>
    <row r="60" spans="2:16" ht="12.75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279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279</v>
      </c>
    </row>
    <row r="61" spans="2:16" ht="12.75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2:16" ht="12.75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2:16" ht="12.75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2:16" ht="12.75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ht="12.75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ht="12.75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ht="12.75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ht="12.75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ht="12.75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ht="12.75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ht="12.75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ht="12.75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ht="12.75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ht="12.75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655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655</v>
      </c>
    </row>
    <row r="76" spans="2:16" ht="12.75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ht="12.75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ht="12.75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ht="12.75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ht="12.75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2:16" ht="12.75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2:16" ht="79.5" customHeight="1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556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557</v>
      </c>
    </row>
    <row r="83" spans="2:16" ht="12.75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2:16" ht="14.25" customHeight="1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266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266</v>
      </c>
    </row>
    <row r="85" spans="2:16" ht="12.75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2:16" ht="12.75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2:16" ht="12.75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2:16" ht="12.75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2:16" ht="12.75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2:16" ht="12.75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2:16" ht="13.5" thickBot="1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ht="12.75">
      <c r="A92" s="412">
        <v>5</v>
      </c>
      <c r="B92" s="83"/>
      <c r="C92" s="83"/>
      <c r="D92" s="141"/>
      <c r="E92" s="432" t="s">
        <v>205</v>
      </c>
      <c r="F92" s="433"/>
      <c r="G92" s="433" t="s">
        <v>206</v>
      </c>
      <c r="H92" s="433"/>
      <c r="I92" s="106" t="s">
        <v>200</v>
      </c>
      <c r="J92" s="433" t="s">
        <v>211</v>
      </c>
      <c r="K92" s="433"/>
      <c r="L92" s="107" t="s">
        <v>439</v>
      </c>
      <c r="M92" s="83"/>
      <c r="N92" s="83"/>
      <c r="O92" s="83"/>
      <c r="P92" s="83"/>
    </row>
    <row r="93" spans="1:16" ht="16.5" thickBot="1">
      <c r="A93" s="413"/>
      <c r="B93" s="83"/>
      <c r="C93" s="83"/>
      <c r="D93" s="142"/>
      <c r="E93" s="414" t="s">
        <v>150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4" t="s">
        <v>118</v>
      </c>
      <c r="L94" s="94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8" ref="C96:C15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aca="true" t="shared" si="9" ref="K96:K158">12996+19.25+J96*3.5</f>
        <v>13022.25</v>
      </c>
      <c r="L96" s="20"/>
      <c r="M96" s="4"/>
      <c r="N96" s="4"/>
      <c r="O96" s="4"/>
      <c r="P96" s="113"/>
    </row>
    <row r="97" spans="2:16" ht="12.75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ht="12.75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ht="12.75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ht="12.75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ht="12.75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ht="12.75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ht="12.75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ht="12.75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ht="12.75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ht="12.75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ht="12.75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ht="12.75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ht="12.75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ht="12.75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ht="12.75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ht="12.75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ht="12.75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ht="12.75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ht="12.75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ht="12.75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ht="12.75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ht="12.75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ht="12.75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ht="12.75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ht="12.75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ht="12.75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ht="12.75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ht="12.75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ht="12.75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ht="12.75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ht="12.75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ht="12.75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ht="12.75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ht="12.75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ht="12.75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ht="12.75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ht="12.75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ht="12.75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ht="12.75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ht="12.75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ht="12.75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ht="12.75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ht="12.75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ht="12.75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ht="12.75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ht="12.75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ht="12.75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ht="12.75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2:16" ht="12.75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2:16" ht="12.75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2:16" ht="12.75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2:16" ht="12.75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2:16" ht="12.75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2:16" ht="12.75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2:16" ht="12.75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2:16" ht="12.75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2:16" ht="12.75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2:16" ht="12.75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2:16" ht="12.75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2:16" ht="12.75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2:16" ht="12.75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ht="12.75">
      <c r="A159" s="412">
        <v>6</v>
      </c>
      <c r="B159" s="83"/>
      <c r="C159" s="83"/>
      <c r="D159" s="141"/>
      <c r="E159" s="432" t="s">
        <v>207</v>
      </c>
      <c r="F159" s="433"/>
      <c r="G159" s="433" t="s">
        <v>208</v>
      </c>
      <c r="H159" s="433"/>
      <c r="I159" s="106" t="s">
        <v>200</v>
      </c>
      <c r="J159" s="433" t="s">
        <v>211</v>
      </c>
      <c r="K159" s="433"/>
      <c r="L159" s="107" t="s">
        <v>440</v>
      </c>
      <c r="M159" s="83"/>
      <c r="N159" s="83"/>
      <c r="O159" s="83"/>
      <c r="P159" s="83"/>
    </row>
    <row r="160" spans="1:16" ht="16.5" thickBot="1">
      <c r="A160" s="413"/>
      <c r="B160" s="83"/>
      <c r="C160" s="83"/>
      <c r="D160" s="142"/>
      <c r="E160" s="414" t="s">
        <v>153</v>
      </c>
      <c r="F160" s="415"/>
      <c r="G160" s="415"/>
      <c r="H160" s="415"/>
      <c r="I160" s="415"/>
      <c r="J160" s="415"/>
      <c r="K160" s="415"/>
      <c r="L160" s="417"/>
      <c r="M160" s="83"/>
      <c r="N160" s="83"/>
      <c r="O160" s="83"/>
      <c r="P160" s="83"/>
    </row>
    <row r="161" spans="2:16" ht="13.5" thickBot="1">
      <c r="B161" s="92" t="s">
        <v>111</v>
      </c>
      <c r="C161" s="94" t="s">
        <v>112</v>
      </c>
      <c r="D161" s="94" t="s">
        <v>113</v>
      </c>
      <c r="E161" s="95" t="s">
        <v>114</v>
      </c>
      <c r="F161" s="95" t="s">
        <v>115</v>
      </c>
      <c r="G161" s="95" t="s">
        <v>116</v>
      </c>
      <c r="H161" s="96" t="s">
        <v>117</v>
      </c>
      <c r="I161" s="75"/>
      <c r="J161" s="92" t="s">
        <v>111</v>
      </c>
      <c r="K161" s="94" t="s">
        <v>118</v>
      </c>
      <c r="L161" s="94" t="s">
        <v>113</v>
      </c>
      <c r="M161" s="95" t="s">
        <v>114</v>
      </c>
      <c r="N161" s="95" t="s">
        <v>115</v>
      </c>
      <c r="O161" s="95" t="s">
        <v>116</v>
      </c>
      <c r="P161" s="96" t="s">
        <v>117</v>
      </c>
    </row>
    <row r="162" spans="2:16" ht="12.75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ht="12.75">
      <c r="B163" s="227">
        <v>2</v>
      </c>
      <c r="C163" s="168">
        <f aca="true" t="shared" si="10" ref="C163:C226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aca="true" t="shared" si="11" ref="K163:K226">12996+20.125+J163*1.75</f>
        <v>13019.625</v>
      </c>
      <c r="L163" s="20"/>
      <c r="M163" s="4"/>
      <c r="N163" s="4"/>
      <c r="O163" s="4"/>
      <c r="P163" s="113"/>
    </row>
    <row r="164" spans="2:16" ht="12.75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ht="12.75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ht="12.75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ht="12.75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ht="12.75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ht="12.75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ht="12.75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ht="12.75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ht="12.75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ht="12.75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ht="12.75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ht="12.75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ht="12.75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ht="12.75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ht="12.75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ht="12.75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ht="12.75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ht="12.75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ht="12.75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ht="12.75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ht="12.75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ht="12.75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ht="12.75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ht="12.75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ht="12.75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ht="12.75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ht="12.75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ht="12.75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ht="12.75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ht="12.75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ht="12.75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ht="12.75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ht="12.75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ht="12.75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ht="12.75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ht="12.75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ht="12.75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ht="12.75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ht="12.75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ht="12.75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ht="12.75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ht="12.75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ht="12.75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ht="12.75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ht="12.75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ht="12.75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ht="12.75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ht="12.75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ht="12.75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ht="12.75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ht="12.75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ht="12.75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ht="12.75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ht="12.75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ht="12.75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ht="12.75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ht="12.75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ht="12.75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ht="12.75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ht="12.75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ht="12.75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ht="12.75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ht="12.75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ht="12.75">
      <c r="B227" s="227">
        <v>66</v>
      </c>
      <c r="C227" s="168">
        <f aca="true" t="shared" si="12" ref="C227:C289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aca="true" t="shared" si="13" ref="K227:K289">12996+20.125+J227*1.75</f>
        <v>13131.625</v>
      </c>
      <c r="L227" s="17"/>
      <c r="M227" s="9"/>
      <c r="N227" s="9"/>
      <c r="O227" s="9"/>
      <c r="P227" s="113"/>
    </row>
    <row r="228" spans="2:16" ht="12.75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ht="12.75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ht="12.75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ht="12.75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ht="12.75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ht="12.75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ht="12.75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ht="12.75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ht="12.75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ht="12.75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ht="12.75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ht="12.75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ht="12.75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ht="12.75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ht="12.75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ht="12.75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ht="12.75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ht="12.75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ht="12.75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ht="12.75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ht="12.75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ht="12.75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ht="12.75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ht="12.75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ht="12.75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ht="12.75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ht="12.75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ht="12.75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ht="12.75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ht="12.75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ht="12.75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ht="12.75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ht="12.75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ht="12.75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ht="12.75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ht="12.75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ht="12.75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ht="12.75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ht="12.75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ht="12.75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ht="12.75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ht="12.75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ht="12.75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ht="12.75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ht="12.75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ht="12.75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ht="12.75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ht="12.75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ht="12.75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ht="12.75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ht="12.75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ht="12.75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ht="12.75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ht="12.75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ht="12.75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ht="12.75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ht="12.75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ht="12.75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ht="12.75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ht="12.75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ht="12.75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Toska</dc:creator>
  <cp:keywords/>
  <dc:description/>
  <cp:lastModifiedBy>user</cp:lastModifiedBy>
  <cp:lastPrinted>2014-12-03T11:33:33Z</cp:lastPrinted>
  <dcterms:created xsi:type="dcterms:W3CDTF">1996-10-14T23:33:28Z</dcterms:created>
  <dcterms:modified xsi:type="dcterms:W3CDTF">2024-05-02T07:36:33Z</dcterms:modified>
  <cp:category/>
  <cp:version/>
  <cp:contentType/>
  <cp:contentStatus/>
</cp:coreProperties>
</file>